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50" windowWidth="19080" windowHeight="11985" activeTab="0"/>
  </bookViews>
  <sheets>
    <sheet name="Sheet1" sheetId="1" r:id="rId1"/>
    <sheet name="Sheet2" sheetId="2" r:id="rId2"/>
    <sheet name="Sheet3" sheetId="3" r:id="rId3"/>
  </sheets>
  <definedNames>
    <definedName name="_xlnm.Print_Area" localSheetId="0">'Sheet1'!$A$1:$K$42</definedName>
  </definedNames>
  <calcPr fullCalcOnLoad="1"/>
</workbook>
</file>

<file path=xl/sharedStrings.xml><?xml version="1.0" encoding="utf-8"?>
<sst xmlns="http://schemas.openxmlformats.org/spreadsheetml/2006/main" count="32" uniqueCount="31">
  <si>
    <t>KiwiSaver benefits:</t>
  </si>
  <si>
    <t>Government Kick-start contribution</t>
  </si>
  <si>
    <t>Employer matching contributions (tax free)</t>
  </si>
  <si>
    <t>Government fee subsidy</t>
  </si>
  <si>
    <t>Inflation</t>
  </si>
  <si>
    <t>Government Fee Subsidy</t>
  </si>
  <si>
    <t>interest rate</t>
  </si>
  <si>
    <t>FV of 1st 5 years</t>
  </si>
  <si>
    <t>FV of years 6-35</t>
  </si>
  <si>
    <t>Total FV for 35 years</t>
  </si>
  <si>
    <t>Total Contributions:</t>
  </si>
  <si>
    <t>Year to</t>
  </si>
  <si>
    <t>Salary workings</t>
  </si>
  <si>
    <t>Age 65:</t>
  </si>
  <si>
    <t>KiwiSaver commences</t>
  </si>
  <si>
    <t>Theoretical joining date</t>
  </si>
  <si>
    <t>5 years from now:</t>
  </si>
  <si>
    <t>Today</t>
  </si>
  <si>
    <t>Age can withdraw savings:</t>
  </si>
  <si>
    <t>Years in KiwiSaver:</t>
  </si>
  <si>
    <t>Value on withdrawal</t>
  </si>
  <si>
    <t>Outside KiwiSaver</t>
  </si>
  <si>
    <t>With KiwiSaver</t>
  </si>
  <si>
    <t>Government matching contributions (via tax credit)</t>
  </si>
  <si>
    <t>Date of birth:</t>
  </si>
  <si>
    <t>Contribution rate:</t>
  </si>
  <si>
    <t>Current salary / wages (including bonuses):</t>
  </si>
  <si>
    <t>KIWISAVER  BENEFITS</t>
  </si>
  <si>
    <t>Enter Details in the Yellow Cells to the left</t>
  </si>
  <si>
    <t>Interest rate</t>
  </si>
  <si>
    <t>Years to go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</si>
</sst>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 #,##0.0_-;_-* &quot;-&quot;??_-;_-@_-"/>
    <numFmt numFmtId="170" formatCode="_-* #,##0.0_-;\-* #,##0.0_-;_-* &quot;-&quot;?_-;_-@_-"/>
    <numFmt numFmtId="171" formatCode="_-* #,##0.000_-;\-* #,##0.000_-;_-* &quot;-&quot;??_-;_-@_-"/>
    <numFmt numFmtId="172" formatCode="_-* #,##0.0000_-;\-* #,##0.0000_-;_-* &quot;-&quot;??_-;_-@_-"/>
    <numFmt numFmtId="173" formatCode="0.0%"/>
    <numFmt numFmtId="174" formatCode="[$-1409]dddd\,\ d\ mmmm\ yyyy"/>
    <numFmt numFmtId="175" formatCode="d/mm/yy;@"/>
    <numFmt numFmtId="176" formatCode="[$-1409]d\ mmmm\ yyyy;@"/>
  </numFmts>
  <fonts count="44">
    <font>
      <sz val="10"/>
      <name val="Arial"/>
      <family val="0"/>
    </font>
    <font>
      <b/>
      <sz val="10"/>
      <name val="Arial"/>
      <family val="2"/>
    </font>
    <font>
      <u val="single"/>
      <sz val="9"/>
      <color indexed="12"/>
      <name val="Arial"/>
      <family val="0"/>
    </font>
    <font>
      <u val="single"/>
      <sz val="9"/>
      <color indexed="36"/>
      <name val="Arial"/>
      <family val="0"/>
    </font>
    <font>
      <sz val="8"/>
      <name val="Arial"/>
      <family val="0"/>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8"/>
      <name val="Arial"/>
      <family val="2"/>
    </font>
    <font>
      <sz val="10"/>
      <color indexed="8"/>
      <name val="Univers 45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Alignment="1">
      <alignment/>
    </xf>
    <xf numFmtId="0" fontId="0" fillId="33" borderId="0" xfId="0"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0" xfId="0" applyFill="1" applyBorder="1" applyAlignment="1" applyProtection="1">
      <alignment horizontal="right"/>
      <protection hidden="1"/>
    </xf>
    <xf numFmtId="0" fontId="1" fillId="33" borderId="11" xfId="0" applyFont="1" applyFill="1" applyBorder="1" applyAlignment="1" applyProtection="1">
      <alignment/>
      <protection hidden="1"/>
    </xf>
    <xf numFmtId="0" fontId="0" fillId="33" borderId="12" xfId="0" applyFont="1" applyFill="1" applyBorder="1" applyAlignment="1" applyProtection="1">
      <alignment horizontal="left"/>
      <protection hidden="1"/>
    </xf>
    <xf numFmtId="0" fontId="0" fillId="33" borderId="0" xfId="0" applyFill="1" applyAlignment="1" applyProtection="1">
      <alignment/>
      <protection hidden="1"/>
    </xf>
    <xf numFmtId="14" fontId="0" fillId="0" borderId="0" xfId="0" applyNumberFormat="1" applyFill="1" applyBorder="1" applyAlignment="1" applyProtection="1">
      <alignment/>
      <protection hidden="1"/>
    </xf>
    <xf numFmtId="0" fontId="0" fillId="33" borderId="13" xfId="0" applyFill="1" applyBorder="1" applyAlignment="1" applyProtection="1">
      <alignment/>
      <protection hidden="1"/>
    </xf>
    <xf numFmtId="169" fontId="0" fillId="33" borderId="14" xfId="0" applyNumberFormat="1" applyFill="1" applyBorder="1" applyAlignment="1" applyProtection="1">
      <alignment/>
      <protection hidden="1"/>
    </xf>
    <xf numFmtId="15" fontId="0" fillId="33" borderId="0" xfId="0" applyNumberFormat="1" applyFill="1" applyAlignment="1" applyProtection="1">
      <alignment/>
      <protection hidden="1"/>
    </xf>
    <xf numFmtId="15" fontId="0" fillId="33" borderId="10" xfId="0" applyNumberFormat="1" applyFill="1" applyBorder="1" applyAlignment="1" applyProtection="1">
      <alignment/>
      <protection hidden="1"/>
    </xf>
    <xf numFmtId="164" fontId="0" fillId="33" borderId="0" xfId="42" applyNumberFormat="1" applyFont="1" applyFill="1" applyBorder="1" applyAlignment="1" applyProtection="1">
      <alignment/>
      <protection hidden="1"/>
    </xf>
    <xf numFmtId="164" fontId="0" fillId="33" borderId="10" xfId="42" applyNumberFormat="1" applyFont="1" applyFill="1" applyBorder="1" applyAlignment="1" applyProtection="1">
      <alignment/>
      <protection hidden="1"/>
    </xf>
    <xf numFmtId="43" fontId="0" fillId="33" borderId="0" xfId="0" applyNumberFormat="1" applyFill="1" applyAlignment="1" applyProtection="1">
      <alignment/>
      <protection hidden="1"/>
    </xf>
    <xf numFmtId="164" fontId="1" fillId="33" borderId="15" xfId="42" applyNumberFormat="1" applyFont="1" applyFill="1" applyBorder="1" applyAlignment="1" applyProtection="1">
      <alignment/>
      <protection hidden="1"/>
    </xf>
    <xf numFmtId="164" fontId="1" fillId="33" borderId="10" xfId="42" applyNumberFormat="1" applyFont="1" applyFill="1" applyBorder="1" applyAlignment="1" applyProtection="1">
      <alignment/>
      <protection hidden="1"/>
    </xf>
    <xf numFmtId="14" fontId="0" fillId="33" borderId="0" xfId="0" applyNumberFormat="1" applyFill="1" applyAlignment="1" applyProtection="1">
      <alignment/>
      <protection hidden="1"/>
    </xf>
    <xf numFmtId="43" fontId="0" fillId="33" borderId="0" xfId="42" applyFont="1" applyFill="1" applyAlignment="1" applyProtection="1">
      <alignment/>
      <protection hidden="1"/>
    </xf>
    <xf numFmtId="171" fontId="0" fillId="33" borderId="0" xfId="0" applyNumberFormat="1" applyFill="1" applyAlignment="1" applyProtection="1">
      <alignment/>
      <protection hidden="1"/>
    </xf>
    <xf numFmtId="169" fontId="0" fillId="33" borderId="0" xfId="0" applyNumberFormat="1" applyFill="1" applyBorder="1" applyAlignment="1" applyProtection="1">
      <alignment/>
      <protection hidden="1"/>
    </xf>
    <xf numFmtId="164" fontId="0" fillId="34" borderId="16" xfId="42" applyNumberFormat="1" applyFont="1" applyFill="1" applyBorder="1" applyAlignment="1" applyProtection="1">
      <alignment/>
      <protection locked="0"/>
    </xf>
    <xf numFmtId="9" fontId="0" fillId="34" borderId="17" xfId="59" applyFont="1" applyFill="1" applyBorder="1" applyAlignment="1" applyProtection="1">
      <alignment/>
      <protection locked="0"/>
    </xf>
    <xf numFmtId="0" fontId="0" fillId="33" borderId="0" xfId="0" applyFont="1" applyFill="1" applyBorder="1" applyAlignment="1" applyProtection="1">
      <alignment/>
      <protection hidden="1"/>
    </xf>
    <xf numFmtId="0" fontId="0" fillId="33" borderId="18" xfId="0" applyFill="1" applyBorder="1" applyAlignment="1" applyProtection="1">
      <alignment/>
      <protection hidden="1"/>
    </xf>
    <xf numFmtId="164" fontId="0" fillId="33" borderId="13" xfId="42" applyNumberFormat="1" applyFont="1" applyFill="1" applyBorder="1" applyAlignment="1" applyProtection="1">
      <alignment/>
      <protection hidden="1"/>
    </xf>
    <xf numFmtId="164" fontId="0" fillId="33" borderId="19" xfId="42" applyNumberFormat="1" applyFont="1" applyFill="1" applyBorder="1" applyAlignment="1" applyProtection="1">
      <alignment/>
      <protection hidden="1"/>
    </xf>
    <xf numFmtId="164" fontId="0" fillId="33" borderId="14" xfId="42" applyNumberFormat="1" applyFont="1" applyFill="1" applyBorder="1" applyAlignment="1" applyProtection="1">
      <alignment/>
      <protection hidden="1"/>
    </xf>
    <xf numFmtId="0" fontId="0" fillId="33" borderId="20" xfId="0" applyFill="1" applyBorder="1" applyAlignment="1" applyProtection="1">
      <alignment/>
      <protection hidden="1"/>
    </xf>
    <xf numFmtId="0" fontId="0" fillId="33" borderId="21" xfId="0" applyFill="1" applyBorder="1" applyAlignment="1" applyProtection="1">
      <alignment/>
      <protection hidden="1"/>
    </xf>
    <xf numFmtId="0" fontId="0" fillId="33" borderId="22" xfId="0" applyFill="1" applyBorder="1" applyAlignment="1" applyProtection="1">
      <alignment/>
      <protection hidden="1"/>
    </xf>
    <xf numFmtId="171" fontId="0" fillId="33" borderId="11" xfId="42" applyNumberFormat="1" applyFont="1" applyFill="1" applyBorder="1" applyAlignment="1" applyProtection="1">
      <alignment/>
      <protection hidden="1"/>
    </xf>
    <xf numFmtId="0" fontId="0" fillId="33" borderId="20" xfId="0" applyFont="1" applyFill="1" applyBorder="1" applyAlignment="1" applyProtection="1">
      <alignment/>
      <protection hidden="1"/>
    </xf>
    <xf numFmtId="0" fontId="0" fillId="33" borderId="23" xfId="0" applyFill="1" applyBorder="1" applyAlignment="1" applyProtection="1">
      <alignment/>
      <protection hidden="1"/>
    </xf>
    <xf numFmtId="0" fontId="0" fillId="33" borderId="15" xfId="0" applyFill="1" applyBorder="1" applyAlignment="1" applyProtection="1">
      <alignment/>
      <protection hidden="1"/>
    </xf>
    <xf numFmtId="0" fontId="0" fillId="33" borderId="21" xfId="0" applyFont="1" applyFill="1" applyBorder="1" applyAlignment="1" applyProtection="1">
      <alignment/>
      <protection hidden="1"/>
    </xf>
    <xf numFmtId="10" fontId="0" fillId="33" borderId="11" xfId="59" applyNumberFormat="1" applyFont="1" applyFill="1" applyBorder="1" applyAlignment="1" applyProtection="1">
      <alignment/>
      <protection hidden="1"/>
    </xf>
    <xf numFmtId="43" fontId="0" fillId="33" borderId="12" xfId="42" applyFont="1" applyFill="1" applyBorder="1" applyAlignment="1" applyProtection="1">
      <alignment/>
      <protection hidden="1"/>
    </xf>
    <xf numFmtId="43" fontId="0" fillId="33" borderId="10" xfId="42" applyFont="1" applyFill="1" applyBorder="1" applyAlignment="1" applyProtection="1">
      <alignment/>
      <protection hidden="1"/>
    </xf>
    <xf numFmtId="176" fontId="0" fillId="33" borderId="12" xfId="0" applyNumberFormat="1" applyFill="1" applyBorder="1" applyAlignment="1" applyProtection="1">
      <alignment/>
      <protection hidden="1"/>
    </xf>
    <xf numFmtId="176" fontId="0" fillId="33" borderId="10" xfId="0" applyNumberFormat="1" applyFill="1" applyBorder="1" applyAlignment="1" applyProtection="1">
      <alignment/>
      <protection hidden="1"/>
    </xf>
    <xf numFmtId="176" fontId="0" fillId="34" borderId="24" xfId="0" applyNumberFormat="1" applyFill="1" applyBorder="1" applyAlignment="1" applyProtection="1">
      <alignment/>
      <protection locked="0"/>
    </xf>
    <xf numFmtId="0" fontId="43" fillId="35" borderId="12" xfId="0" applyFont="1" applyFill="1" applyBorder="1" applyAlignment="1" applyProtection="1">
      <alignment horizontal="center"/>
      <protection hidden="1"/>
    </xf>
    <xf numFmtId="0" fontId="43" fillId="35" borderId="11" xfId="0" applyFont="1" applyFill="1" applyBorder="1" applyAlignment="1" applyProtection="1">
      <alignment horizontal="center"/>
      <protection hidden="1"/>
    </xf>
    <xf numFmtId="15" fontId="43" fillId="35" borderId="15" xfId="0" applyNumberFormat="1" applyFont="1" applyFill="1" applyBorder="1" applyAlignment="1" applyProtection="1">
      <alignment horizontal="center"/>
      <protection hidden="1"/>
    </xf>
    <xf numFmtId="0" fontId="43" fillId="35" borderId="24" xfId="0" applyFont="1" applyFill="1" applyBorder="1" applyAlignment="1" applyProtection="1">
      <alignment horizontal="center"/>
      <protection hidden="1"/>
    </xf>
    <xf numFmtId="164" fontId="0" fillId="33" borderId="10" xfId="42" applyNumberFormat="1" applyFont="1" applyFill="1" applyBorder="1" applyAlignment="1" applyProtection="1">
      <alignment horizontal="center"/>
      <protection hidden="1"/>
    </xf>
    <xf numFmtId="0" fontId="0" fillId="33" borderId="10" xfId="0" applyFill="1" applyBorder="1" applyAlignment="1" applyProtection="1">
      <alignment horizontal="right" indent="1"/>
      <protection hidden="1"/>
    </xf>
    <xf numFmtId="164" fontId="1" fillId="33" borderId="11" xfId="42" applyNumberFormat="1" applyFont="1" applyFill="1" applyBorder="1" applyAlignment="1" applyProtection="1">
      <alignment horizontal="center"/>
      <protection hidden="1"/>
    </xf>
    <xf numFmtId="0" fontId="0" fillId="33" borderId="25" xfId="0" applyFill="1" applyBorder="1" applyAlignment="1" applyProtection="1">
      <alignment/>
      <protection hidden="1"/>
    </xf>
    <xf numFmtId="0" fontId="0" fillId="33" borderId="26" xfId="0" applyFill="1" applyBorder="1" applyAlignment="1" applyProtection="1">
      <alignment/>
      <protection hidden="1"/>
    </xf>
    <xf numFmtId="0" fontId="0" fillId="33" borderId="27" xfId="0" applyFill="1" applyBorder="1" applyAlignment="1" applyProtection="1">
      <alignment/>
      <protection hidden="1"/>
    </xf>
    <xf numFmtId="0" fontId="0" fillId="33" borderId="28" xfId="0" applyFill="1" applyBorder="1" applyAlignment="1" applyProtection="1">
      <alignment/>
      <protection hidden="1"/>
    </xf>
    <xf numFmtId="0" fontId="0" fillId="33" borderId="29" xfId="0" applyFill="1" applyBorder="1" applyAlignment="1" applyProtection="1">
      <alignment/>
      <protection hidden="1"/>
    </xf>
    <xf numFmtId="0" fontId="0" fillId="33" borderId="30" xfId="0" applyFill="1" applyBorder="1" applyAlignment="1" applyProtection="1">
      <alignment/>
      <protection hidden="1"/>
    </xf>
    <xf numFmtId="0" fontId="0" fillId="33" borderId="31" xfId="0" applyFill="1" applyBorder="1" applyAlignment="1" applyProtection="1">
      <alignment/>
      <protection hidden="1"/>
    </xf>
    <xf numFmtId="0" fontId="0" fillId="33" borderId="32" xfId="0" applyFill="1" applyBorder="1" applyAlignment="1" applyProtection="1">
      <alignment/>
      <protection hidden="1"/>
    </xf>
    <xf numFmtId="0" fontId="43" fillId="35" borderId="23" xfId="0" applyFont="1" applyFill="1" applyBorder="1" applyAlignment="1" applyProtection="1">
      <alignment horizontal="center"/>
      <protection hidden="1"/>
    </xf>
    <xf numFmtId="15" fontId="43" fillId="35" borderId="23" xfId="0" applyNumberFormat="1" applyFont="1" applyFill="1" applyBorder="1" applyAlignment="1" applyProtection="1">
      <alignment horizontal="center"/>
      <protection hidden="1"/>
    </xf>
    <xf numFmtId="0" fontId="43" fillId="35" borderId="16" xfId="0" applyFont="1" applyFill="1" applyBorder="1" applyAlignment="1" applyProtection="1">
      <alignment horizontal="center"/>
      <protection hidden="1"/>
    </xf>
    <xf numFmtId="0" fontId="5" fillId="33" borderId="0" xfId="0"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30</xdr:row>
      <xdr:rowOff>142875</xdr:rowOff>
    </xdr:from>
    <xdr:to>
      <xdr:col>9</xdr:col>
      <xdr:colOff>1143000</xdr:colOff>
      <xdr:row>40</xdr:row>
      <xdr:rowOff>114300</xdr:rowOff>
    </xdr:to>
    <xdr:sp>
      <xdr:nvSpPr>
        <xdr:cNvPr id="1" name="Text Box 6"/>
        <xdr:cNvSpPr txBox="1">
          <a:spLocks noChangeArrowheads="1"/>
        </xdr:cNvSpPr>
      </xdr:nvSpPr>
      <xdr:spPr>
        <a:xfrm>
          <a:off x="238125" y="5095875"/>
          <a:ext cx="9267825" cy="1590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Key Assumptions:
</a:t>
          </a:r>
          <a:r>
            <a:rPr lang="en-US" cap="none" sz="1000" b="0" i="0" u="none" baseline="0">
              <a:solidFill>
                <a:srgbClr val="000000"/>
              </a:solidFill>
              <a:latin typeface="Arial"/>
              <a:ea typeface="Arial"/>
              <a:cs typeface="Arial"/>
            </a:rPr>
            <a:t>The current salary and contributions grow with inflation at 2%pa.  Within KiwiSaver, contributions earn 6%pa net of fees and tax.  It is assumed that you are eligible to receive the member tax credit provided by the Government.  Employer matching contributions are phased in over four years, with matching up to 1% of salary from April 2008, 2% from April 2009, 3% from April 2010, and 4% from April 2011.  There is a small employer contribution in the first year representing the contributions made between 1 April 2008 and 30 June 2008.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Disclaimer:
</a:t>
          </a:r>
          <a:r>
            <a:rPr lang="en-US" cap="none" sz="1000" b="0" i="0" u="none" baseline="0">
              <a:solidFill>
                <a:srgbClr val="000000"/>
              </a:solidFill>
              <a:latin typeface="Arial"/>
              <a:ea typeface="Arial"/>
              <a:cs typeface="Arial"/>
            </a:rPr>
            <a:t>This workbook is for illustrative purposes only and does not constitute advice of any kind.  You should consult your financial adviser before before making any decisions based on this information.  Figures shown in the table may be subject to rounding.
</a:t>
          </a:r>
          <a:r>
            <a:rPr lang="en-US" cap="none" sz="1000" b="0" i="0" u="none" baseline="0">
              <a:solidFill>
                <a:srgbClr val="000000"/>
              </a:solidFill>
              <a:latin typeface="Univers 45 Light"/>
              <a:ea typeface="Univers 45 Light"/>
              <a:cs typeface="Univers 45 Light"/>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62"/>
  <sheetViews>
    <sheetView tabSelected="1" zoomScale="92" zoomScaleNormal="92" zoomScalePageLayoutView="0" workbookViewId="0" topLeftCell="A1">
      <selection activeCell="C6" sqref="C6"/>
    </sheetView>
  </sheetViews>
  <sheetFormatPr defaultColWidth="9.140625" defaultRowHeight="12.75"/>
  <cols>
    <col min="1" max="1" width="4.00390625" style="7" customWidth="1"/>
    <col min="2" max="2" width="43.7109375" style="7" customWidth="1"/>
    <col min="3" max="3" width="13.28125" style="7" bestFit="1" customWidth="1"/>
    <col min="4" max="7" width="12.00390625" style="7" bestFit="1" customWidth="1"/>
    <col min="8" max="8" width="1.28515625" style="7" customWidth="1"/>
    <col min="9" max="9" width="15.140625" style="7" customWidth="1"/>
    <col min="10" max="10" width="17.57421875" style="7" customWidth="1"/>
    <col min="11" max="11" width="3.28125" style="7" customWidth="1"/>
    <col min="12" max="12" width="18.28125" style="7" hidden="1" customWidth="1"/>
    <col min="13" max="13" width="18.57421875" style="7" hidden="1" customWidth="1"/>
    <col min="14" max="14" width="15.421875" style="7" hidden="1" customWidth="1"/>
    <col min="15" max="21" width="9.140625" style="7" customWidth="1"/>
    <col min="22" max="16384" width="9.140625" style="7" customWidth="1"/>
  </cols>
  <sheetData>
    <row r="1" spans="1:11" ht="12.75">
      <c r="A1" s="50"/>
      <c r="B1" s="51"/>
      <c r="C1" s="51"/>
      <c r="D1" s="51"/>
      <c r="E1" s="51"/>
      <c r="F1" s="51"/>
      <c r="G1" s="51"/>
      <c r="H1" s="51"/>
      <c r="I1" s="51"/>
      <c r="J1" s="51"/>
      <c r="K1" s="52"/>
    </row>
    <row r="2" spans="1:11" ht="20.25">
      <c r="A2" s="53"/>
      <c r="B2" s="61" t="s">
        <v>27</v>
      </c>
      <c r="C2" s="61"/>
      <c r="D2" s="61"/>
      <c r="E2" s="61"/>
      <c r="F2" s="61"/>
      <c r="G2" s="61"/>
      <c r="H2" s="61"/>
      <c r="I2" s="61"/>
      <c r="J2" s="61"/>
      <c r="K2" s="54"/>
    </row>
    <row r="3" spans="1:11" ht="12.75">
      <c r="A3" s="53"/>
      <c r="B3" s="1"/>
      <c r="C3" s="1"/>
      <c r="D3" s="1"/>
      <c r="E3" s="1"/>
      <c r="F3" s="1"/>
      <c r="G3" s="1"/>
      <c r="H3" s="1"/>
      <c r="I3" s="1"/>
      <c r="J3" s="1"/>
      <c r="K3" s="54"/>
    </row>
    <row r="4" spans="1:11" ht="12.75">
      <c r="A4" s="53"/>
      <c r="B4" s="6" t="s">
        <v>26</v>
      </c>
      <c r="C4" s="22">
        <v>100000</v>
      </c>
      <c r="D4" s="1"/>
      <c r="E4" s="62" t="s">
        <v>28</v>
      </c>
      <c r="F4" s="62"/>
      <c r="G4" s="62"/>
      <c r="H4" s="62"/>
      <c r="I4" s="62"/>
      <c r="J4" s="1"/>
      <c r="K4" s="54"/>
    </row>
    <row r="5" spans="1:11" ht="12.75">
      <c r="A5" s="53"/>
      <c r="B5" s="2" t="s">
        <v>25</v>
      </c>
      <c r="C5" s="23">
        <v>0.08</v>
      </c>
      <c r="D5" s="1"/>
      <c r="E5" s="1"/>
      <c r="F5" s="1"/>
      <c r="G5" s="1"/>
      <c r="H5" s="1"/>
      <c r="I5" s="1"/>
      <c r="J5" s="1"/>
      <c r="K5" s="54"/>
    </row>
    <row r="6" spans="1:11" ht="12.75">
      <c r="A6" s="53"/>
      <c r="B6" s="3" t="s">
        <v>24</v>
      </c>
      <c r="C6" s="42">
        <v>25035</v>
      </c>
      <c r="D6" s="1"/>
      <c r="E6" s="1"/>
      <c r="F6" s="1"/>
      <c r="G6" s="1"/>
      <c r="H6" s="1"/>
      <c r="I6" s="1"/>
      <c r="J6" s="1"/>
      <c r="K6" s="54"/>
    </row>
    <row r="7" spans="1:11" ht="12.75">
      <c r="A7" s="53"/>
      <c r="B7" s="1"/>
      <c r="C7" s="8"/>
      <c r="D7" s="1"/>
      <c r="E7" s="1"/>
      <c r="F7" s="1"/>
      <c r="G7" s="1"/>
      <c r="H7" s="1"/>
      <c r="I7" s="1"/>
      <c r="J7" s="1"/>
      <c r="K7" s="54"/>
    </row>
    <row r="8" spans="1:11" ht="12.75">
      <c r="A8" s="53"/>
      <c r="B8" s="9" t="s">
        <v>19</v>
      </c>
      <c r="C8" s="10">
        <f>C16</f>
        <v>26.04243668720055</v>
      </c>
      <c r="D8" s="1"/>
      <c r="E8" s="1"/>
      <c r="F8" s="1"/>
      <c r="G8" s="1"/>
      <c r="H8" s="1"/>
      <c r="I8" s="1"/>
      <c r="J8" s="1"/>
      <c r="K8" s="54"/>
    </row>
    <row r="9" spans="1:11" ht="12.75">
      <c r="A9" s="53"/>
      <c r="B9" s="1"/>
      <c r="C9" s="21"/>
      <c r="D9" s="1"/>
      <c r="E9" s="1"/>
      <c r="F9" s="1"/>
      <c r="G9" s="1"/>
      <c r="H9" s="1"/>
      <c r="I9" s="1"/>
      <c r="J9" s="1"/>
      <c r="K9" s="54"/>
    </row>
    <row r="10" spans="1:11" ht="12.75">
      <c r="A10" s="53"/>
      <c r="B10" s="29" t="s">
        <v>17</v>
      </c>
      <c r="C10" s="40">
        <f ca="1">TODAY()</f>
        <v>39916</v>
      </c>
      <c r="D10" s="1"/>
      <c r="E10" s="33" t="s">
        <v>4</v>
      </c>
      <c r="F10" s="34"/>
      <c r="G10" s="34"/>
      <c r="H10" s="34"/>
      <c r="I10" s="38">
        <v>1.02</v>
      </c>
      <c r="J10" s="1"/>
      <c r="K10" s="54"/>
    </row>
    <row r="11" spans="1:11" ht="12.75">
      <c r="A11" s="53"/>
      <c r="B11" s="30" t="s">
        <v>14</v>
      </c>
      <c r="C11" s="41">
        <v>39264</v>
      </c>
      <c r="D11" s="1"/>
      <c r="E11" s="30" t="s">
        <v>5</v>
      </c>
      <c r="F11" s="1"/>
      <c r="G11" s="1"/>
      <c r="H11" s="1"/>
      <c r="I11" s="39">
        <v>40</v>
      </c>
      <c r="J11" s="1"/>
      <c r="K11" s="54"/>
    </row>
    <row r="12" spans="1:11" ht="12.75">
      <c r="A12" s="53"/>
      <c r="B12" s="30" t="s">
        <v>15</v>
      </c>
      <c r="C12" s="41">
        <f>MAX(C10,C11)</f>
        <v>39916</v>
      </c>
      <c r="D12" s="1"/>
      <c r="E12" s="36" t="s">
        <v>30</v>
      </c>
      <c r="F12" s="1"/>
      <c r="G12" s="1"/>
      <c r="H12" s="1"/>
      <c r="I12" s="39">
        <f>C16-5</f>
        <v>21.04243668720055</v>
      </c>
      <c r="J12" s="1"/>
      <c r="K12" s="54"/>
    </row>
    <row r="13" spans="1:11" ht="12.75">
      <c r="A13" s="53"/>
      <c r="B13" s="30" t="s">
        <v>13</v>
      </c>
      <c r="C13" s="41">
        <f>DATE(YEAR(C6)+65,MONTH(C6),DAY(C6))</f>
        <v>48776</v>
      </c>
      <c r="D13" s="1"/>
      <c r="E13" s="31" t="s">
        <v>6</v>
      </c>
      <c r="F13" s="35"/>
      <c r="G13" s="35"/>
      <c r="H13" s="35"/>
      <c r="I13" s="37">
        <v>0.06</v>
      </c>
      <c r="J13" s="1"/>
      <c r="K13" s="54"/>
    </row>
    <row r="14" spans="1:11" ht="12.75">
      <c r="A14" s="53"/>
      <c r="B14" s="30" t="s">
        <v>16</v>
      </c>
      <c r="C14" s="41">
        <f>DATE(YEAR(C11)+5,MONTH(C11),DAY(C11))</f>
        <v>41091</v>
      </c>
      <c r="D14" s="1"/>
      <c r="E14" s="1"/>
      <c r="F14" s="1"/>
      <c r="G14" s="1"/>
      <c r="H14" s="1"/>
      <c r="I14" s="1"/>
      <c r="J14" s="1"/>
      <c r="K14" s="54"/>
    </row>
    <row r="15" spans="1:11" ht="12.75">
      <c r="A15" s="53"/>
      <c r="B15" s="30" t="s">
        <v>18</v>
      </c>
      <c r="C15" s="41">
        <f>MAX(C13,C14)</f>
        <v>48776</v>
      </c>
      <c r="D15" s="1"/>
      <c r="E15" s="1"/>
      <c r="F15" s="1"/>
      <c r="G15" s="1"/>
      <c r="H15" s="1"/>
      <c r="I15" s="1"/>
      <c r="J15" s="1"/>
      <c r="K15" s="54"/>
    </row>
    <row r="16" spans="1:11" ht="12.75">
      <c r="A16" s="53"/>
      <c r="B16" s="31" t="s">
        <v>19</v>
      </c>
      <c r="C16" s="32">
        <f>(C15-C11)/365.25</f>
        <v>26.04243668720055</v>
      </c>
      <c r="D16" s="1"/>
      <c r="E16" s="1"/>
      <c r="F16" s="1"/>
      <c r="G16" s="1"/>
      <c r="H16" s="1"/>
      <c r="I16" s="1"/>
      <c r="J16" s="1"/>
      <c r="K16" s="54"/>
    </row>
    <row r="17" spans="1:14" ht="12.75">
      <c r="A17" s="53"/>
      <c r="B17" s="1"/>
      <c r="C17" s="1"/>
      <c r="D17" s="1"/>
      <c r="E17" s="1"/>
      <c r="F17" s="1"/>
      <c r="G17" s="1"/>
      <c r="H17" s="1"/>
      <c r="I17" s="1"/>
      <c r="J17" s="1"/>
      <c r="K17" s="54"/>
      <c r="L17" s="7" t="s">
        <v>8</v>
      </c>
      <c r="M17" s="7" t="s">
        <v>9</v>
      </c>
      <c r="N17" s="7" t="s">
        <v>7</v>
      </c>
    </row>
    <row r="18" spans="1:14" ht="12.75">
      <c r="A18" s="53"/>
      <c r="B18" s="43"/>
      <c r="C18" s="58" t="s">
        <v>11</v>
      </c>
      <c r="D18" s="58"/>
      <c r="E18" s="58"/>
      <c r="F18" s="58"/>
      <c r="G18" s="58"/>
      <c r="H18" s="4"/>
      <c r="I18" s="59" t="s">
        <v>20</v>
      </c>
      <c r="J18" s="60"/>
      <c r="K18" s="54"/>
      <c r="N18" s="11"/>
    </row>
    <row r="19" spans="1:14" ht="12.75">
      <c r="A19" s="53"/>
      <c r="B19" s="44"/>
      <c r="C19" s="45">
        <v>39629</v>
      </c>
      <c r="D19" s="45">
        <v>39994</v>
      </c>
      <c r="E19" s="45">
        <v>40359</v>
      </c>
      <c r="F19" s="45">
        <v>40724</v>
      </c>
      <c r="G19" s="45">
        <v>41090</v>
      </c>
      <c r="H19" s="12"/>
      <c r="I19" s="45" t="s">
        <v>22</v>
      </c>
      <c r="J19" s="46" t="s">
        <v>21</v>
      </c>
      <c r="K19" s="54"/>
      <c r="N19" s="11"/>
    </row>
    <row r="20" spans="1:14" ht="12.75">
      <c r="A20" s="53"/>
      <c r="B20" s="2" t="str">
        <f>"Member contributions ("&amp;C5*100&amp;"% of gross salary)"</f>
        <v>Member contributions (8% of gross salary)</v>
      </c>
      <c r="C20" s="13">
        <f>C5*C30</f>
        <v>8000</v>
      </c>
      <c r="D20" s="13">
        <f>C5*D30</f>
        <v>8160</v>
      </c>
      <c r="E20" s="13">
        <f>C5*E30</f>
        <v>8323.2</v>
      </c>
      <c r="F20" s="13">
        <f>C5*F30</f>
        <v>8489.663999999999</v>
      </c>
      <c r="G20" s="13">
        <f>C5*G30</f>
        <v>8659.45728</v>
      </c>
      <c r="H20" s="14"/>
      <c r="I20" s="13">
        <f>L20+N20</f>
        <v>577164.2691900703</v>
      </c>
      <c r="J20" s="47">
        <f>I20</f>
        <v>577164.2691900703</v>
      </c>
      <c r="K20" s="54"/>
      <c r="L20" s="7">
        <f>G20*$I$10*($N$32^$I$12-$I$10^$I$12)/($N$32-$I$10)</f>
        <v>417572.11642639403</v>
      </c>
      <c r="N20" s="15">
        <f>C20*$N$32^($C$8-1)+D20*$N$32^($C$8-2)+E20*$N$32^($C$8-3)+F20*$N$32^($C$8-4)+G20*$N$32^($C$8-5)</f>
        <v>159592.1527636763</v>
      </c>
    </row>
    <row r="21" spans="1:11" ht="12.75">
      <c r="A21" s="53"/>
      <c r="B21" s="2"/>
      <c r="C21" s="13"/>
      <c r="D21" s="13"/>
      <c r="E21" s="13"/>
      <c r="F21" s="13"/>
      <c r="G21" s="13"/>
      <c r="H21" s="14"/>
      <c r="I21" s="13"/>
      <c r="J21" s="47"/>
      <c r="K21" s="54"/>
    </row>
    <row r="22" spans="1:11" ht="12.75">
      <c r="A22" s="53"/>
      <c r="B22" s="2" t="s">
        <v>0</v>
      </c>
      <c r="C22" s="13"/>
      <c r="D22" s="13"/>
      <c r="E22" s="13"/>
      <c r="F22" s="13"/>
      <c r="G22" s="13"/>
      <c r="H22" s="14"/>
      <c r="I22" s="13"/>
      <c r="J22" s="47"/>
      <c r="K22" s="54"/>
    </row>
    <row r="23" spans="1:14" ht="12.75">
      <c r="A23" s="53"/>
      <c r="B23" s="2" t="s">
        <v>1</v>
      </c>
      <c r="C23" s="13">
        <v>1000</v>
      </c>
      <c r="D23" s="13"/>
      <c r="E23" s="13"/>
      <c r="F23" s="13"/>
      <c r="G23" s="13"/>
      <c r="H23" s="14"/>
      <c r="I23" s="13">
        <f>N23</f>
        <v>4560.646321487971</v>
      </c>
      <c r="J23" s="48">
        <v>0</v>
      </c>
      <c r="K23" s="54"/>
      <c r="N23" s="7">
        <f>C23*$N$32^$C$8</f>
        <v>4560.646321487971</v>
      </c>
    </row>
    <row r="24" spans="1:14" ht="12.75">
      <c r="A24" s="53"/>
      <c r="B24" s="2" t="s">
        <v>23</v>
      </c>
      <c r="C24" s="13">
        <f>MIN(C20,1040)</f>
        <v>1040</v>
      </c>
      <c r="D24" s="13">
        <f>MIN(D20,1040)</f>
        <v>1040</v>
      </c>
      <c r="E24" s="13">
        <f>MIN(E20,1040)</f>
        <v>1040</v>
      </c>
      <c r="F24" s="13">
        <f>MIN(F20,1040)</f>
        <v>1040</v>
      </c>
      <c r="G24" s="13">
        <f>MIN(G20,1040)</f>
        <v>1040</v>
      </c>
      <c r="H24" s="14"/>
      <c r="I24" s="13">
        <f>L24+N24</f>
        <v>61717.86957245816</v>
      </c>
      <c r="J24" s="48">
        <v>0</v>
      </c>
      <c r="K24" s="54"/>
      <c r="L24" s="7">
        <f>G24*($N$32^$I$12-1)/($I$13)</f>
        <v>41738.32411291237</v>
      </c>
      <c r="N24" s="15">
        <f>C24*$N$32^($C$8-1)+D24*$N$32^($C$8-2)+E24*$N$32^($C$8-3)+F24*$N$32^($C$8-4)+G24*$N$32^($C$8-5)</f>
        <v>19979.545459545792</v>
      </c>
    </row>
    <row r="25" spans="1:14" ht="12.75">
      <c r="A25" s="53"/>
      <c r="B25" s="2" t="s">
        <v>2</v>
      </c>
      <c r="C25" s="13">
        <f>0.25*C30*0.01</f>
        <v>250</v>
      </c>
      <c r="D25" s="13">
        <f>(0.75*D30*0.01)+(0.25*D30*0.02)</f>
        <v>1275</v>
      </c>
      <c r="E25" s="13">
        <f>(0.75*E30*0.02)+(0.25*E30*0.03)</f>
        <v>2340.9</v>
      </c>
      <c r="F25" s="13">
        <f>(0.75*F30*0.03)+(0.25*F30*0.04)</f>
        <v>3448.9259999999995</v>
      </c>
      <c r="G25" s="13">
        <f>0.04*G30</f>
        <v>4329.72864</v>
      </c>
      <c r="H25" s="14"/>
      <c r="I25" s="13">
        <f>L25+N25</f>
        <v>251215.37836021144</v>
      </c>
      <c r="J25" s="48">
        <v>0</v>
      </c>
      <c r="K25" s="54"/>
      <c r="L25" s="7">
        <f>G25*$I$10*($N$32^$I$12-$I$10^$I$12)/($N$32-$I$10)</f>
        <v>208786.05821319701</v>
      </c>
      <c r="N25" s="15">
        <f>C25*$N$32^($C$8-1)+D25*$N$32^($C$8-2)+E25*$N$32^($C$8-3)+F25*$N$32^($C$8-4)+G25*$N$32^($C$8-5)</f>
        <v>42429.32014701444</v>
      </c>
    </row>
    <row r="26" spans="1:14" ht="12.75">
      <c r="A26" s="53"/>
      <c r="B26" s="2" t="s">
        <v>3</v>
      </c>
      <c r="C26" s="13">
        <f>I11</f>
        <v>40</v>
      </c>
      <c r="D26" s="13">
        <f>I11</f>
        <v>40</v>
      </c>
      <c r="E26" s="13">
        <f>I11</f>
        <v>40</v>
      </c>
      <c r="F26" s="13">
        <f>I11</f>
        <v>40</v>
      </c>
      <c r="G26" s="13">
        <f>I11</f>
        <v>40</v>
      </c>
      <c r="H26" s="14"/>
      <c r="I26" s="13">
        <f>L26+N26</f>
        <v>2373.764214325314</v>
      </c>
      <c r="J26" s="48">
        <v>0</v>
      </c>
      <c r="K26" s="54"/>
      <c r="L26" s="7">
        <f>G26*($N$32^$I$12-1)/($I$13)</f>
        <v>1605.3201581889373</v>
      </c>
      <c r="N26" s="15">
        <f>C26*$N$32^($C$8-1)+D26*$N$32^($C$8-2)+E26*$N$32^($C$8-3)+F26*$N$32^($C$8-4)+G26*$N$32^($C$8-5)</f>
        <v>768.4440561363765</v>
      </c>
    </row>
    <row r="27" spans="1:11" ht="12.75">
      <c r="A27" s="53"/>
      <c r="B27" s="2"/>
      <c r="C27" s="13"/>
      <c r="D27" s="13"/>
      <c r="E27" s="13"/>
      <c r="F27" s="13"/>
      <c r="G27" s="13"/>
      <c r="H27" s="14"/>
      <c r="I27" s="13"/>
      <c r="J27" s="47"/>
      <c r="K27" s="54"/>
    </row>
    <row r="28" spans="1:14" ht="12.75">
      <c r="A28" s="53"/>
      <c r="B28" s="5" t="s">
        <v>10</v>
      </c>
      <c r="C28" s="16">
        <f>C20+C23+C24+C25+C26</f>
        <v>10330</v>
      </c>
      <c r="D28" s="16">
        <f>D20+D24+D25+D26</f>
        <v>10515</v>
      </c>
      <c r="E28" s="16">
        <f>E20+E24+E25+E26</f>
        <v>11744.1</v>
      </c>
      <c r="F28" s="16">
        <f>F20+F24+F25+F26</f>
        <v>13018.589999999998</v>
      </c>
      <c r="G28" s="16">
        <f>G20+G24+G25+G26</f>
        <v>14069.18592</v>
      </c>
      <c r="H28" s="17"/>
      <c r="I28" s="16">
        <f>SUM(I20:I26)</f>
        <v>897031.9276585534</v>
      </c>
      <c r="J28" s="49">
        <f>SUM(J20:J26)</f>
        <v>577164.2691900703</v>
      </c>
      <c r="K28" s="54"/>
      <c r="L28" s="7">
        <f>L20+L24+L25+L26</f>
        <v>669701.8189106924</v>
      </c>
      <c r="N28" s="7">
        <f>SUM(N20:N26)</f>
        <v>227330.1087478609</v>
      </c>
    </row>
    <row r="29" spans="1:11" ht="12.75">
      <c r="A29" s="53"/>
      <c r="B29" s="1"/>
      <c r="C29" s="1"/>
      <c r="D29" s="1"/>
      <c r="E29" s="1"/>
      <c r="F29" s="1"/>
      <c r="G29" s="1"/>
      <c r="H29" s="1"/>
      <c r="I29" s="1"/>
      <c r="J29" s="1"/>
      <c r="K29" s="54"/>
    </row>
    <row r="30" spans="1:11" ht="12.75">
      <c r="A30" s="53"/>
      <c r="B30" s="25" t="s">
        <v>12</v>
      </c>
      <c r="C30" s="26">
        <f>C4</f>
        <v>100000</v>
      </c>
      <c r="D30" s="27">
        <f>C4*POWER(I10,1)</f>
        <v>102000</v>
      </c>
      <c r="E30" s="27">
        <f>C4*POWER(I10,2)</f>
        <v>104040</v>
      </c>
      <c r="F30" s="27">
        <f>C4*POWER(I10,3)</f>
        <v>106120.79999999999</v>
      </c>
      <c r="G30" s="28">
        <f>C4*POWER(I10,4)</f>
        <v>108243.216</v>
      </c>
      <c r="H30" s="1"/>
      <c r="I30" s="1"/>
      <c r="J30" s="1"/>
      <c r="K30" s="54"/>
    </row>
    <row r="31" spans="1:15" ht="12.75">
      <c r="A31" s="53"/>
      <c r="B31" s="1"/>
      <c r="C31" s="1"/>
      <c r="D31" s="1"/>
      <c r="E31" s="1"/>
      <c r="F31" s="1"/>
      <c r="G31" s="1"/>
      <c r="H31" s="1"/>
      <c r="I31" s="1"/>
      <c r="J31" s="1"/>
      <c r="K31" s="54"/>
      <c r="L31" s="24" t="s">
        <v>29</v>
      </c>
      <c r="M31" s="1"/>
      <c r="N31" s="1"/>
      <c r="O31" s="1"/>
    </row>
    <row r="32" spans="1:14" ht="12.75">
      <c r="A32" s="53"/>
      <c r="B32" s="1"/>
      <c r="C32" s="1"/>
      <c r="D32" s="1"/>
      <c r="E32" s="1"/>
      <c r="F32" s="1"/>
      <c r="G32" s="1"/>
      <c r="H32" s="1"/>
      <c r="I32" s="1"/>
      <c r="J32" s="1"/>
      <c r="K32" s="54"/>
      <c r="N32" s="2">
        <v>1.06</v>
      </c>
    </row>
    <row r="33" spans="1:11" ht="12.75">
      <c r="A33" s="53"/>
      <c r="B33" s="1"/>
      <c r="C33" s="1"/>
      <c r="D33" s="1"/>
      <c r="E33" s="1"/>
      <c r="F33" s="1"/>
      <c r="G33" s="1"/>
      <c r="H33" s="1"/>
      <c r="I33" s="1"/>
      <c r="J33" s="1"/>
      <c r="K33" s="54"/>
    </row>
    <row r="34" spans="1:11" ht="12.75">
      <c r="A34" s="53"/>
      <c r="B34" s="1"/>
      <c r="C34" s="1"/>
      <c r="D34" s="1"/>
      <c r="E34" s="1"/>
      <c r="F34" s="1"/>
      <c r="G34" s="1"/>
      <c r="H34" s="1"/>
      <c r="I34" s="1"/>
      <c r="J34" s="1"/>
      <c r="K34" s="54"/>
    </row>
    <row r="35" spans="1:11" ht="12.75">
      <c r="A35" s="53"/>
      <c r="B35" s="1"/>
      <c r="C35" s="1"/>
      <c r="D35" s="1"/>
      <c r="E35" s="1"/>
      <c r="F35" s="1"/>
      <c r="G35" s="1"/>
      <c r="H35" s="1"/>
      <c r="I35" s="1"/>
      <c r="J35" s="1"/>
      <c r="K35" s="54"/>
    </row>
    <row r="36" spans="1:11" ht="12.75">
      <c r="A36" s="53"/>
      <c r="B36" s="1"/>
      <c r="C36" s="1"/>
      <c r="D36" s="1"/>
      <c r="E36" s="1"/>
      <c r="F36" s="1"/>
      <c r="G36" s="1"/>
      <c r="H36" s="1"/>
      <c r="I36" s="1"/>
      <c r="J36" s="1"/>
      <c r="K36" s="54"/>
    </row>
    <row r="37" spans="1:11" ht="12.75">
      <c r="A37" s="53"/>
      <c r="B37" s="1"/>
      <c r="C37" s="1"/>
      <c r="D37" s="1"/>
      <c r="E37" s="1"/>
      <c r="F37" s="1"/>
      <c r="G37" s="1"/>
      <c r="H37" s="1"/>
      <c r="I37" s="1"/>
      <c r="J37" s="1"/>
      <c r="K37" s="54"/>
    </row>
    <row r="38" spans="1:11" ht="12.75">
      <c r="A38" s="53"/>
      <c r="B38" s="1"/>
      <c r="C38" s="1"/>
      <c r="D38" s="1"/>
      <c r="E38" s="1"/>
      <c r="F38" s="1"/>
      <c r="G38" s="1"/>
      <c r="H38" s="1"/>
      <c r="I38" s="1"/>
      <c r="J38" s="1"/>
      <c r="K38" s="54"/>
    </row>
    <row r="39" spans="1:11" ht="12.75">
      <c r="A39" s="53"/>
      <c r="B39" s="1"/>
      <c r="C39" s="1"/>
      <c r="D39" s="1"/>
      <c r="E39" s="1"/>
      <c r="F39" s="1"/>
      <c r="G39" s="1"/>
      <c r="H39" s="1"/>
      <c r="I39" s="1"/>
      <c r="J39" s="1"/>
      <c r="K39" s="54"/>
    </row>
    <row r="40" spans="1:11" ht="12.75">
      <c r="A40" s="53"/>
      <c r="B40" s="1"/>
      <c r="C40" s="1"/>
      <c r="D40" s="1"/>
      <c r="E40" s="1"/>
      <c r="F40" s="1"/>
      <c r="G40" s="1"/>
      <c r="H40" s="1"/>
      <c r="I40" s="1"/>
      <c r="J40" s="1"/>
      <c r="K40" s="54"/>
    </row>
    <row r="41" spans="1:11" ht="12.75">
      <c r="A41" s="53"/>
      <c r="B41" s="1"/>
      <c r="C41" s="1"/>
      <c r="D41" s="1"/>
      <c r="E41" s="1"/>
      <c r="F41" s="1"/>
      <c r="G41" s="1"/>
      <c r="H41" s="1"/>
      <c r="I41" s="1"/>
      <c r="J41" s="1"/>
      <c r="K41" s="54"/>
    </row>
    <row r="42" spans="1:11" ht="13.5" thickBot="1">
      <c r="A42" s="55"/>
      <c r="B42" s="56"/>
      <c r="C42" s="56"/>
      <c r="D42" s="56"/>
      <c r="E42" s="56"/>
      <c r="F42" s="56"/>
      <c r="G42" s="56"/>
      <c r="H42" s="56"/>
      <c r="I42" s="56"/>
      <c r="J42" s="56"/>
      <c r="K42" s="57"/>
    </row>
    <row r="44" ht="12.75">
      <c r="C44" s="18"/>
    </row>
    <row r="46" ht="12.75">
      <c r="L46" s="18">
        <v>36708</v>
      </c>
    </row>
    <row r="47" ht="12.75">
      <c r="L47" s="18">
        <v>51318</v>
      </c>
    </row>
    <row r="48" ht="12.75">
      <c r="L48" s="19">
        <f>L47-L46</f>
        <v>14610</v>
      </c>
    </row>
    <row r="49" spans="4:12" ht="12.75">
      <c r="D49" s="19"/>
      <c r="L49" s="20">
        <f>L48/40</f>
        <v>365.25</v>
      </c>
    </row>
    <row r="50" ht="12.75">
      <c r="D50" s="15"/>
    </row>
    <row r="52" spans="3:8" ht="12.75">
      <c r="C52" s="18"/>
      <c r="E52" s="18"/>
      <c r="F52" s="18"/>
      <c r="G52" s="19"/>
      <c r="H52" s="15"/>
    </row>
    <row r="62" ht="12.75">
      <c r="H62" s="7">
        <f>C4*POWER(I10,5)</f>
        <v>110408.08032000001</v>
      </c>
    </row>
  </sheetData>
  <sheetProtection password="D8B2" sheet="1" selectLockedCells="1"/>
  <mergeCells count="4">
    <mergeCell ref="C18:G18"/>
    <mergeCell ref="I18:J18"/>
    <mergeCell ref="B2:J2"/>
    <mergeCell ref="E4:I4"/>
  </mergeCells>
  <dataValidations count="1">
    <dataValidation type="decimal" operator="greaterThanOrEqual" allowBlank="1" showInputMessage="1" showErrorMessage="1" error="The minimum contribution to KiwiSaver is 4% of salary." sqref="C5">
      <formula1>0.04</formula1>
    </dataValidation>
  </dataValidations>
  <printOptions horizontalCentered="1" verticalCentered="1"/>
  <pageMargins left="0.35433070866141736" right="0.38" top="0.3937007874015748" bottom="0.41" header="0.3937007874015748" footer="0.31496062992125984"/>
  <pageSetup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Rowe</dc:creator>
  <cp:keywords/>
  <dc:description/>
  <cp:lastModifiedBy>johnr</cp:lastModifiedBy>
  <cp:lastPrinted>2009-04-13T04:37:10Z</cp:lastPrinted>
  <dcterms:created xsi:type="dcterms:W3CDTF">2007-05-28T23:32:56Z</dcterms:created>
  <dcterms:modified xsi:type="dcterms:W3CDTF">2009-04-13T06:30:14Z</dcterms:modified>
  <cp:category/>
  <cp:version/>
  <cp:contentType/>
  <cp:contentStatus/>
</cp:coreProperties>
</file>