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750" yWindow="2010" windowWidth="14505" windowHeight="7230" activeTab="0"/>
  </bookViews>
  <sheets>
    <sheet name="buyrent" sheetId="1" r:id="rId1"/>
  </sheets>
  <definedNames>
    <definedName name="_xlnm.Print_Area" localSheetId="0">'buyrent'!$A$1:$R$77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<sst xmlns="http://schemas.openxmlformats.org/spreadsheetml/2006/main" count="43" uniqueCount="36">
  <si>
    <t xml:space="preserve"> Initial House value:</t>
  </si>
  <si>
    <t xml:space="preserve"> % pa</t>
  </si>
  <si>
    <t xml:space="preserve"> Rent reviewed after every:</t>
  </si>
  <si>
    <t xml:space="preserve"> years</t>
  </si>
  <si>
    <t xml:space="preserve"> %</t>
  </si>
  <si>
    <t xml:space="preserve"> Maintenance as % of value</t>
  </si>
  <si>
    <t>Owned:</t>
  </si>
  <si>
    <t>Rented:</t>
  </si>
  <si>
    <t xml:space="preserve"> Average mortgage interest:</t>
  </si>
  <si>
    <t xml:space="preserve"> Maintenance Inflation rate:</t>
  </si>
  <si>
    <t xml:space="preserve"> House inflation rate:</t>
  </si>
  <si>
    <t>Total</t>
  </si>
  <si>
    <t>Difference</t>
  </si>
  <si>
    <t xml:space="preserve"> Mortgage loan amount (&lt;75%):</t>
  </si>
  <si>
    <t xml:space="preserve"> Annual rent as % of house value:</t>
  </si>
  <si>
    <t xml:space="preserve"> Buying - transaction cost as % of house value:</t>
  </si>
  <si>
    <t xml:space="preserve"> Selling - transaction cost as % of house value:</t>
  </si>
  <si>
    <t>Buy Sale less costs</t>
  </si>
  <si>
    <t>Year end</t>
  </si>
  <si>
    <t>House value</t>
  </si>
  <si>
    <t>House % growth pa</t>
  </si>
  <si>
    <t>Inflation % pa</t>
  </si>
  <si>
    <t>Mortgage % pa</t>
  </si>
  <si>
    <t>Mortgage $ per month</t>
  </si>
  <si>
    <t>Maint. Owned</t>
  </si>
  <si>
    <t>Rent $ per month</t>
  </si>
  <si>
    <t>Maint. Rent</t>
  </si>
  <si>
    <t>What is better</t>
  </si>
  <si>
    <t>pa</t>
  </si>
  <si>
    <t>Enter Details into Yellow Boxes:</t>
  </si>
  <si>
    <t>Weekly Rent</t>
  </si>
  <si>
    <t>weekly</t>
  </si>
  <si>
    <t xml:space="preserve"> Initial Capital</t>
  </si>
  <si>
    <t>What is preferable?  Buy a home with a mortgage or to rent one?</t>
  </si>
  <si>
    <t>Rent costs + free capital return</t>
  </si>
  <si>
    <t xml:space="preserve"> Net return on  capital: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</si>
</sst>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£&quot;* #,##0.0_-;\-&quot;£&quot;* #,##0.0_-;_-&quot;£&quot;* &quot;-&quot;??_-;_-@_-"/>
    <numFmt numFmtId="179" formatCode="_-&quot;£&quot;* #,##0_-;\-&quot;£&quot;* #,##0_-;_-&quot;£&quot;* &quot;-&quot;??_-;_-@_-"/>
    <numFmt numFmtId="180" formatCode="&quot;$&quot;#,##0.00"/>
    <numFmt numFmtId="181" formatCode="&quot;$&quot;#,##0.0"/>
    <numFmt numFmtId="182" formatCode="&quot;$&quot;#,##0"/>
    <numFmt numFmtId="183" formatCode="0.0%"/>
    <numFmt numFmtId="184" formatCode="\$#,##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  <font>
      <sz val="8"/>
      <color indexed="12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2" fontId="0" fillId="33" borderId="10" xfId="0" applyNumberFormat="1" applyFill="1" applyBorder="1" applyAlignment="1" applyProtection="1">
      <alignment/>
      <protection hidden="1"/>
    </xf>
    <xf numFmtId="182" fontId="0" fillId="33" borderId="11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82" fontId="0" fillId="33" borderId="13" xfId="0" applyNumberFormat="1" applyFill="1" applyBorder="1" applyAlignment="1" applyProtection="1">
      <alignment/>
      <protection hidden="1"/>
    </xf>
    <xf numFmtId="182" fontId="0" fillId="33" borderId="14" xfId="0" applyNumberForma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0" fontId="8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182" fontId="51" fillId="35" borderId="16" xfId="44" applyNumberFormat="1" applyFont="1" applyFill="1" applyBorder="1" applyAlignment="1" applyProtection="1">
      <alignment horizontal="center" vertical="center"/>
      <protection locked="0"/>
    </xf>
    <xf numFmtId="182" fontId="51" fillId="35" borderId="0" xfId="44" applyNumberFormat="1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 applyProtection="1">
      <alignment horizontal="center" vertical="center"/>
      <protection locked="0"/>
    </xf>
    <xf numFmtId="10" fontId="51" fillId="35" borderId="0" xfId="59" applyNumberFormat="1" applyFont="1" applyFill="1" applyBorder="1" applyAlignment="1" applyProtection="1">
      <alignment horizontal="center" vertical="center"/>
      <protection locked="0"/>
    </xf>
    <xf numFmtId="182" fontId="51" fillId="35" borderId="0" xfId="0" applyNumberFormat="1" applyFont="1" applyFill="1" applyBorder="1" applyAlignment="1" applyProtection="1">
      <alignment horizontal="center" vertical="center"/>
      <protection locked="0"/>
    </xf>
    <xf numFmtId="10" fontId="2" fillId="33" borderId="10" xfId="59" applyNumberFormat="1" applyFont="1" applyFill="1" applyBorder="1" applyAlignment="1" applyProtection="1">
      <alignment horizontal="center" vertical="center"/>
      <protection hidden="1"/>
    </xf>
    <xf numFmtId="10" fontId="2" fillId="33" borderId="11" xfId="59" applyNumberFormat="1" applyFont="1" applyFill="1" applyBorder="1" applyAlignment="1" applyProtection="1">
      <alignment horizontal="center" vertical="center"/>
      <protection hidden="1"/>
    </xf>
    <xf numFmtId="10" fontId="51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52" fillId="36" borderId="30" xfId="0" applyFont="1" applyFill="1" applyBorder="1" applyAlignment="1" applyProtection="1">
      <alignment horizontal="center" vertical="center" wrapText="1"/>
      <protection/>
    </xf>
    <xf numFmtId="0" fontId="53" fillId="36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10" fontId="51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/>
      <protection/>
    </xf>
    <xf numFmtId="10" fontId="51" fillId="35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Buy or Rent?
Positive figures - buying is best. Negative - renting best.</a:t>
            </a:r>
          </a:p>
        </c:rich>
      </c:tx>
      <c:layout>
        <c:manualLayout>
          <c:xMode val="factor"/>
          <c:yMode val="factor"/>
          <c:x val="-0.08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025"/>
          <c:w val="0.93625"/>
          <c:h val="0.78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buyrent!$B$22:$B$41</c:f>
              <c:numCache/>
            </c:numRef>
          </c:cat>
          <c:val>
            <c:numRef>
              <c:f>buyrent!$O$22:$O$41</c:f>
              <c:numCache/>
            </c:numRef>
          </c:val>
        </c:ser>
        <c:axId val="19260225"/>
        <c:axId val="39124298"/>
      </c:areaChart>
      <c:catAx>
        <c:axId val="1926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Property held - term in years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0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cost - difference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46</xdr:row>
      <xdr:rowOff>114300</xdr:rowOff>
    </xdr:from>
    <xdr:to>
      <xdr:col>16</xdr:col>
      <xdr:colOff>123825</xdr:colOff>
      <xdr:row>75</xdr:row>
      <xdr:rowOff>114300</xdr:rowOff>
    </xdr:to>
    <xdr:graphicFrame>
      <xdr:nvGraphicFramePr>
        <xdr:cNvPr id="1" name="Chart 3"/>
        <xdr:cNvGraphicFramePr/>
      </xdr:nvGraphicFramePr>
      <xdr:xfrm>
        <a:off x="209550" y="7896225"/>
        <a:ext cx="11468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3.8515625" style="11" customWidth="1"/>
    <col min="2" max="2" width="9.140625" style="11" customWidth="1"/>
    <col min="3" max="3" width="13.421875" style="11" customWidth="1"/>
    <col min="4" max="4" width="24.00390625" style="11" customWidth="1"/>
    <col min="5" max="5" width="10.28125" style="11" customWidth="1"/>
    <col min="6" max="6" width="9.8515625" style="11" customWidth="1"/>
    <col min="7" max="7" width="10.28125" style="11" customWidth="1"/>
    <col min="8" max="12" width="9.140625" style="11" customWidth="1"/>
    <col min="13" max="13" width="13.28125" style="11" bestFit="1" customWidth="1"/>
    <col min="14" max="14" width="12.00390625" style="11" customWidth="1"/>
    <col min="15" max="15" width="10.140625" style="11" customWidth="1"/>
    <col min="16" max="16" width="11.28125" style="11" customWidth="1"/>
    <col min="17" max="17" width="3.57421875" style="11" customWidth="1"/>
    <col min="18" max="18" width="4.7109375" style="11" customWidth="1"/>
    <col min="19" max="16384" width="9.140625" style="11" customWidth="1"/>
  </cols>
  <sheetData>
    <row r="1" spans="1:18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18">
      <c r="A2" s="38"/>
      <c r="B2" s="55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.75">
      <c r="A3" s="38"/>
      <c r="B3" s="39"/>
      <c r="C3" s="41"/>
      <c r="D3" s="41"/>
      <c r="E3" s="41"/>
      <c r="F3" s="41"/>
      <c r="G3" s="41"/>
      <c r="H3" s="41"/>
      <c r="I3" s="41"/>
      <c r="J3" s="41"/>
      <c r="K3" s="41"/>
      <c r="L3" s="39"/>
      <c r="M3" s="39"/>
      <c r="N3" s="39"/>
      <c r="O3" s="39"/>
      <c r="P3" s="39"/>
      <c r="Q3" s="39"/>
      <c r="R3" s="40"/>
    </row>
    <row r="4" spans="1:18" ht="12.75">
      <c r="A4" s="38"/>
      <c r="B4" s="52" t="s">
        <v>29</v>
      </c>
      <c r="C4" s="39"/>
      <c r="D4" s="39"/>
      <c r="E4" s="42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12.75">
      <c r="A5" s="38"/>
      <c r="B5" s="21" t="s">
        <v>0</v>
      </c>
      <c r="C5" s="12"/>
      <c r="D5" s="13"/>
      <c r="E5" s="27">
        <v>600000</v>
      </c>
      <c r="F5" s="1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t="12.75">
      <c r="A6" s="38"/>
      <c r="B6" s="22" t="s">
        <v>13</v>
      </c>
      <c r="C6" s="15"/>
      <c r="D6" s="16"/>
      <c r="E6" s="28">
        <v>500000</v>
      </c>
      <c r="F6" s="24">
        <f>E6/E5</f>
        <v>0.8333333333333334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12.75">
      <c r="A7" s="38"/>
      <c r="B7" s="22" t="s">
        <v>30</v>
      </c>
      <c r="C7" s="15"/>
      <c r="D7" s="16"/>
      <c r="E7" s="28">
        <v>750</v>
      </c>
      <c r="F7" s="24" t="s">
        <v>31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12.75">
      <c r="A8" s="38"/>
      <c r="B8" s="22" t="s">
        <v>14</v>
      </c>
      <c r="C8" s="15"/>
      <c r="D8" s="16"/>
      <c r="E8" s="53">
        <f>(E7*52)/E5</f>
        <v>0.065</v>
      </c>
      <c r="F8" s="25" t="s">
        <v>28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12.75">
      <c r="A9" s="38"/>
      <c r="B9" s="22" t="s">
        <v>2</v>
      </c>
      <c r="C9" s="15"/>
      <c r="D9" s="16"/>
      <c r="E9" s="29">
        <v>1</v>
      </c>
      <c r="F9" s="25" t="s">
        <v>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2.75">
      <c r="A10" s="38"/>
      <c r="B10" s="22" t="s">
        <v>15</v>
      </c>
      <c r="C10" s="15"/>
      <c r="D10" s="16"/>
      <c r="E10" s="34">
        <v>0.01</v>
      </c>
      <c r="F10" s="25" t="s">
        <v>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t="12.75">
      <c r="A11" s="38"/>
      <c r="B11" s="22" t="s">
        <v>16</v>
      </c>
      <c r="C11" s="15"/>
      <c r="D11" s="16"/>
      <c r="E11" s="34">
        <v>0.07</v>
      </c>
      <c r="F11" s="25" t="s">
        <v>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t="12.75">
      <c r="A12" s="38"/>
      <c r="B12" s="22" t="s">
        <v>5</v>
      </c>
      <c r="C12" s="15"/>
      <c r="D12" s="16"/>
      <c r="E12" s="54"/>
      <c r="F12" s="2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2.75">
      <c r="A13" s="38"/>
      <c r="B13" s="22"/>
      <c r="C13" s="15"/>
      <c r="D13" s="16" t="s">
        <v>6</v>
      </c>
      <c r="E13" s="34">
        <v>0.02</v>
      </c>
      <c r="F13" s="25" t="s">
        <v>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t="12.75">
      <c r="A14" s="38"/>
      <c r="B14" s="22"/>
      <c r="C14" s="15"/>
      <c r="D14" s="16" t="s">
        <v>7</v>
      </c>
      <c r="E14" s="30">
        <v>0.0025</v>
      </c>
      <c r="F14" s="25" t="s">
        <v>1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2.75">
      <c r="A15" s="38"/>
      <c r="B15" s="22" t="s">
        <v>8</v>
      </c>
      <c r="C15" s="15"/>
      <c r="D15" s="16"/>
      <c r="E15" s="34">
        <v>0.09</v>
      </c>
      <c r="F15" s="25" t="s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2.75">
      <c r="A16" s="38"/>
      <c r="B16" s="22" t="s">
        <v>9</v>
      </c>
      <c r="C16" s="15"/>
      <c r="D16" s="16"/>
      <c r="E16" s="34">
        <v>0.03</v>
      </c>
      <c r="F16" s="25" t="s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12.75">
      <c r="A17" s="38"/>
      <c r="B17" s="22" t="s">
        <v>10</v>
      </c>
      <c r="C17" s="15"/>
      <c r="D17" s="16"/>
      <c r="E17" s="34">
        <v>0.06</v>
      </c>
      <c r="F17" s="25" t="s">
        <v>28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12.75">
      <c r="A18" s="38"/>
      <c r="B18" s="22" t="s">
        <v>32</v>
      </c>
      <c r="C18" s="15"/>
      <c r="D18" s="16"/>
      <c r="E18" s="31">
        <f>E5-E6</f>
        <v>100000</v>
      </c>
      <c r="F18" s="2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2.75">
      <c r="A19" s="38"/>
      <c r="B19" s="23" t="s">
        <v>35</v>
      </c>
      <c r="C19" s="17"/>
      <c r="D19" s="18"/>
      <c r="E19" s="56">
        <v>0.05</v>
      </c>
      <c r="F19" s="26" t="s">
        <v>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ht="12.75">
      <c r="A20" s="38"/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4"/>
      <c r="N20" s="44"/>
      <c r="O20" s="45"/>
      <c r="P20" s="39"/>
      <c r="Q20" s="41"/>
      <c r="R20" s="40"/>
    </row>
    <row r="21" spans="1:18" ht="33.75">
      <c r="A21" s="38"/>
      <c r="B21" s="50" t="s">
        <v>18</v>
      </c>
      <c r="C21" s="50" t="s">
        <v>19</v>
      </c>
      <c r="D21" s="50" t="s">
        <v>20</v>
      </c>
      <c r="E21" s="50" t="s">
        <v>21</v>
      </c>
      <c r="F21" s="50" t="s">
        <v>22</v>
      </c>
      <c r="G21" s="50" t="s">
        <v>23</v>
      </c>
      <c r="H21" s="50" t="s">
        <v>24</v>
      </c>
      <c r="I21" s="50" t="s">
        <v>11</v>
      </c>
      <c r="J21" s="50" t="s">
        <v>25</v>
      </c>
      <c r="K21" s="50" t="s">
        <v>26</v>
      </c>
      <c r="L21" s="50" t="s">
        <v>11</v>
      </c>
      <c r="M21" s="50" t="s">
        <v>17</v>
      </c>
      <c r="N21" s="50" t="s">
        <v>34</v>
      </c>
      <c r="O21" s="50" t="s">
        <v>12</v>
      </c>
      <c r="P21" s="51" t="s">
        <v>27</v>
      </c>
      <c r="Q21" s="41"/>
      <c r="R21" s="40"/>
    </row>
    <row r="22" spans="1:18" ht="12.75">
      <c r="A22" s="38"/>
      <c r="B22" s="19">
        <v>1</v>
      </c>
      <c r="C22" s="1">
        <f>E$5*(1+D22)</f>
        <v>636000</v>
      </c>
      <c r="D22" s="32">
        <f>E17</f>
        <v>0.06</v>
      </c>
      <c r="E22" s="32">
        <f>E16</f>
        <v>0.03</v>
      </c>
      <c r="F22" s="32">
        <f>E15</f>
        <v>0.09</v>
      </c>
      <c r="G22" s="1">
        <f>$E$6*(F22*100)/1200</f>
        <v>3750</v>
      </c>
      <c r="H22" s="1">
        <f>E5*(E13*100)/1200</f>
        <v>1000</v>
      </c>
      <c r="I22" s="1">
        <f aca="true" t="shared" si="0" ref="I22:I46">G22+H22</f>
        <v>4750</v>
      </c>
      <c r="J22" s="1">
        <f>(E$8*100)*E$5/1200</f>
        <v>3250</v>
      </c>
      <c r="K22" s="1">
        <f>$E$5*($E$14*100)/1200</f>
        <v>125</v>
      </c>
      <c r="L22" s="1">
        <f aca="true" t="shared" si="1" ref="L22:L46">J22+K22</f>
        <v>3375</v>
      </c>
      <c r="M22" s="1">
        <f>E$6*(1+$E$11)+12*SUM(I$22:I22)-C22*(1-$E$10)</f>
        <v>-37640</v>
      </c>
      <c r="N22" s="1">
        <f>12*SUM(L$22:L22)-E$18*(1+E$19)^B22</f>
        <v>-64500</v>
      </c>
      <c r="O22" s="8">
        <f aca="true" t="shared" si="2" ref="O22:O46">ROUND(N22-M22,0)</f>
        <v>-26860</v>
      </c>
      <c r="P22" s="5" t="str">
        <f>IF(O22&gt;0," Buying",IF(O22=0," No Difference"," Renting"))</f>
        <v> Renting</v>
      </c>
      <c r="Q22" s="41"/>
      <c r="R22" s="40"/>
    </row>
    <row r="23" spans="1:18" ht="12.75">
      <c r="A23" s="38"/>
      <c r="B23" s="19">
        <v>2</v>
      </c>
      <c r="C23" s="1">
        <f>C22*(1+D23)</f>
        <v>674160</v>
      </c>
      <c r="D23" s="32">
        <f aca="true" t="shared" si="3" ref="D23:D46">D22</f>
        <v>0.06</v>
      </c>
      <c r="E23" s="32">
        <f aca="true" t="shared" si="4" ref="E23:E46">E22</f>
        <v>0.03</v>
      </c>
      <c r="F23" s="32">
        <f aca="true" t="shared" si="5" ref="F23:F46">F22</f>
        <v>0.09</v>
      </c>
      <c r="G23" s="1">
        <f aca="true" t="shared" si="6" ref="G23:G46">$E$6*(F23*100)/1200</f>
        <v>3750</v>
      </c>
      <c r="H23" s="1">
        <f>H22*(E22+1)</f>
        <v>1030</v>
      </c>
      <c r="I23" s="1">
        <f t="shared" si="0"/>
        <v>4780</v>
      </c>
      <c r="J23" s="1">
        <f>IF(MOD(B22,MAX(1,E$9))=0,C22*(E$8*100)/1200,J22)</f>
        <v>3445</v>
      </c>
      <c r="K23" s="1">
        <f>K22*(1+E22)</f>
        <v>128.75</v>
      </c>
      <c r="L23" s="1">
        <f t="shared" si="1"/>
        <v>3573.75</v>
      </c>
      <c r="M23" s="1">
        <f>E$6*(1+$E$11)+12*SUM(I$22:I23)-C23*(1-$E$10)</f>
        <v>-18058.400000000023</v>
      </c>
      <c r="N23" s="1">
        <f>12*SUM(L$22:L23)-E$18*(1+E$19)^B23</f>
        <v>-26865</v>
      </c>
      <c r="O23" s="8">
        <f t="shared" si="2"/>
        <v>-8807</v>
      </c>
      <c r="P23" s="6" t="str">
        <f aca="true" t="shared" si="7" ref="P23:P46">IF(O23&gt;0," Buying",IF(O23=0," No Difference"," Renting"))</f>
        <v> Renting</v>
      </c>
      <c r="Q23" s="41"/>
      <c r="R23" s="40"/>
    </row>
    <row r="24" spans="1:18" ht="12.75">
      <c r="A24" s="38"/>
      <c r="B24" s="19">
        <v>3</v>
      </c>
      <c r="C24" s="1">
        <f aca="true" t="shared" si="8" ref="C24:C46">C23*(1+D24)</f>
        <v>714609.6000000001</v>
      </c>
      <c r="D24" s="32">
        <f t="shared" si="3"/>
        <v>0.06</v>
      </c>
      <c r="E24" s="32">
        <f t="shared" si="4"/>
        <v>0.03</v>
      </c>
      <c r="F24" s="32">
        <f t="shared" si="5"/>
        <v>0.09</v>
      </c>
      <c r="G24" s="1">
        <f t="shared" si="6"/>
        <v>3750</v>
      </c>
      <c r="H24" s="1">
        <f aca="true" t="shared" si="9" ref="H24:H46">H23*(E23+1)</f>
        <v>1060.9</v>
      </c>
      <c r="I24" s="1">
        <f t="shared" si="0"/>
        <v>4810.9</v>
      </c>
      <c r="J24" s="1">
        <f>IF(MOD(B23,MAX(1,E$9))=0,C23*(E$8*100)/1200,J23)</f>
        <v>3651.7</v>
      </c>
      <c r="K24" s="1">
        <f aca="true" t="shared" si="10" ref="K24:K46">K23*(1+E23)</f>
        <v>132.6125</v>
      </c>
      <c r="L24" s="1">
        <f t="shared" si="1"/>
        <v>3784.3125</v>
      </c>
      <c r="M24" s="1">
        <f>E$6*(1+$E$11)+12*SUM(I$22:I24)-C24*(1-$E$10)</f>
        <v>-372.704000000027</v>
      </c>
      <c r="N24" s="1">
        <f>12*SUM(L$22:L24)-E$18*(1+E$19)^B24</f>
        <v>13034.249999999985</v>
      </c>
      <c r="O24" s="8">
        <f t="shared" si="2"/>
        <v>13407</v>
      </c>
      <c r="P24" s="6" t="str">
        <f t="shared" si="7"/>
        <v> Buying</v>
      </c>
      <c r="Q24" s="41"/>
      <c r="R24" s="40"/>
    </row>
    <row r="25" spans="1:18" ht="12.75">
      <c r="A25" s="38"/>
      <c r="B25" s="19">
        <v>4</v>
      </c>
      <c r="C25" s="1">
        <f t="shared" si="8"/>
        <v>757486.1760000001</v>
      </c>
      <c r="D25" s="32">
        <f t="shared" si="3"/>
        <v>0.06</v>
      </c>
      <c r="E25" s="32">
        <f t="shared" si="4"/>
        <v>0.03</v>
      </c>
      <c r="F25" s="32">
        <f t="shared" si="5"/>
        <v>0.09</v>
      </c>
      <c r="G25" s="1">
        <f t="shared" si="6"/>
        <v>3750</v>
      </c>
      <c r="H25" s="1">
        <f t="shared" si="9"/>
        <v>1092.727</v>
      </c>
      <c r="I25" s="1">
        <f t="shared" si="0"/>
        <v>4842.727</v>
      </c>
      <c r="J25" s="1">
        <f>IF(MOD(B24,MAX(1,E$9))=0,C24*(E$8*100)/1200,J24)</f>
        <v>3870.802</v>
      </c>
      <c r="K25" s="1">
        <f t="shared" si="10"/>
        <v>136.590875</v>
      </c>
      <c r="L25" s="1">
        <f t="shared" si="1"/>
        <v>4007.392875</v>
      </c>
      <c r="M25" s="1">
        <f>E$6*(1+$E$11)+12*SUM(I$22:I25)-C25*(1-$E$10)</f>
        <v>15292.209759999881</v>
      </c>
      <c r="N25" s="1">
        <f>12*SUM(L$22:L25)-E$18*(1+E$19)^B25</f>
        <v>55334.8395</v>
      </c>
      <c r="O25" s="8">
        <f t="shared" si="2"/>
        <v>40043</v>
      </c>
      <c r="P25" s="6" t="str">
        <f t="shared" si="7"/>
        <v> Buying</v>
      </c>
      <c r="Q25" s="41"/>
      <c r="R25" s="40"/>
    </row>
    <row r="26" spans="1:18" ht="12.75">
      <c r="A26" s="38"/>
      <c r="B26" s="19">
        <v>5</v>
      </c>
      <c r="C26" s="1">
        <f t="shared" si="8"/>
        <v>802935.3465600001</v>
      </c>
      <c r="D26" s="32">
        <f t="shared" si="3"/>
        <v>0.06</v>
      </c>
      <c r="E26" s="32">
        <f t="shared" si="4"/>
        <v>0.03</v>
      </c>
      <c r="F26" s="32">
        <f t="shared" si="5"/>
        <v>0.09</v>
      </c>
      <c r="G26" s="1">
        <f t="shared" si="6"/>
        <v>3750</v>
      </c>
      <c r="H26" s="1">
        <f t="shared" si="9"/>
        <v>1125.50881</v>
      </c>
      <c r="I26" s="1">
        <f t="shared" si="0"/>
        <v>4875.50881</v>
      </c>
      <c r="J26" s="1">
        <f>IF(MOD(B25,MAX(1,E$9))=0,C25*(E$8*100)/1200,J25)</f>
        <v>4103.05012</v>
      </c>
      <c r="K26" s="1">
        <f t="shared" si="10"/>
        <v>140.68860125</v>
      </c>
      <c r="L26" s="1">
        <f t="shared" si="1"/>
        <v>4243.73872125</v>
      </c>
      <c r="M26" s="1">
        <f>E$6*(1+$E$11)+12*SUM(I$22:I26)-C26*(1-$E$10)</f>
        <v>28803.63662559993</v>
      </c>
      <c r="N26" s="1">
        <f>12*SUM(L$22:L26)-E$18*(1+E$19)^B26</f>
        <v>100182.172905</v>
      </c>
      <c r="O26" s="8">
        <f t="shared" si="2"/>
        <v>71379</v>
      </c>
      <c r="P26" s="6" t="str">
        <f t="shared" si="7"/>
        <v> Buying</v>
      </c>
      <c r="Q26" s="41"/>
      <c r="R26" s="40"/>
    </row>
    <row r="27" spans="1:18" ht="12.75">
      <c r="A27" s="38"/>
      <c r="B27" s="19">
        <v>6</v>
      </c>
      <c r="C27" s="1">
        <f t="shared" si="8"/>
        <v>851111.4673536002</v>
      </c>
      <c r="D27" s="32">
        <f t="shared" si="3"/>
        <v>0.06</v>
      </c>
      <c r="E27" s="32">
        <f t="shared" si="4"/>
        <v>0.03</v>
      </c>
      <c r="F27" s="32">
        <f t="shared" si="5"/>
        <v>0.09</v>
      </c>
      <c r="G27" s="1">
        <f t="shared" si="6"/>
        <v>3750</v>
      </c>
      <c r="H27" s="1">
        <f t="shared" si="9"/>
        <v>1159.2740743000002</v>
      </c>
      <c r="I27" s="1">
        <f t="shared" si="0"/>
        <v>4909.2740743</v>
      </c>
      <c r="J27" s="1">
        <f>IF(MOD(B26,MAX(1,E$9))=0,C26*(E$8*100)/1200,J26)</f>
        <v>4349.2331272</v>
      </c>
      <c r="K27" s="1">
        <f t="shared" si="10"/>
        <v>144.90925928750002</v>
      </c>
      <c r="L27" s="1">
        <f t="shared" si="1"/>
        <v>4494.1423864875005</v>
      </c>
      <c r="M27" s="1">
        <f>E$6*(1+$E$11)+12*SUM(I$22:I27)-C27*(1-$E$10)</f>
        <v>40020.56593153591</v>
      </c>
      <c r="N27" s="1">
        <f>12*SUM(L$22:L27)-E$18*(1+E$19)^B27</f>
        <v>147730.47373035</v>
      </c>
      <c r="O27" s="8">
        <f t="shared" si="2"/>
        <v>107710</v>
      </c>
      <c r="P27" s="6" t="str">
        <f t="shared" si="7"/>
        <v> Buying</v>
      </c>
      <c r="Q27" s="41"/>
      <c r="R27" s="40"/>
    </row>
    <row r="28" spans="1:18" ht="12.75">
      <c r="A28" s="38"/>
      <c r="B28" s="19">
        <v>7</v>
      </c>
      <c r="C28" s="1">
        <f t="shared" si="8"/>
        <v>902178.1553948163</v>
      </c>
      <c r="D28" s="32">
        <f t="shared" si="3"/>
        <v>0.06</v>
      </c>
      <c r="E28" s="32">
        <f t="shared" si="4"/>
        <v>0.03</v>
      </c>
      <c r="F28" s="32">
        <f t="shared" si="5"/>
        <v>0.09</v>
      </c>
      <c r="G28" s="1">
        <f t="shared" si="6"/>
        <v>3750</v>
      </c>
      <c r="H28" s="1">
        <f t="shared" si="9"/>
        <v>1194.0522965290002</v>
      </c>
      <c r="I28" s="1">
        <f t="shared" si="0"/>
        <v>4944.052296529</v>
      </c>
      <c r="J28" s="1">
        <f>IF(MOD(B27,MAX(1,E$9))=0,C27*(E$8*100)/1200,J27)</f>
        <v>4610.187114832001</v>
      </c>
      <c r="K28" s="1">
        <f t="shared" si="10"/>
        <v>149.25653706612502</v>
      </c>
      <c r="L28" s="1">
        <f t="shared" si="1"/>
        <v>4759.443651898126</v>
      </c>
      <c r="M28" s="1">
        <f>E$6*(1+$E$11)+12*SUM(I$22:I28)-C28*(1-$E$10)</f>
        <v>48793.172329079825</v>
      </c>
      <c r="N28" s="1">
        <f>12*SUM(L$22:L28)-E$18*(1+E$19)^B28</f>
        <v>198143.3193500025</v>
      </c>
      <c r="O28" s="8">
        <f t="shared" si="2"/>
        <v>149350</v>
      </c>
      <c r="P28" s="6" t="str">
        <f t="shared" si="7"/>
        <v> Buying</v>
      </c>
      <c r="Q28" s="41"/>
      <c r="R28" s="40"/>
    </row>
    <row r="29" spans="1:18" ht="12.75">
      <c r="A29" s="38"/>
      <c r="B29" s="19">
        <v>8</v>
      </c>
      <c r="C29" s="1">
        <f t="shared" si="8"/>
        <v>956308.8447185053</v>
      </c>
      <c r="D29" s="32">
        <f t="shared" si="3"/>
        <v>0.06</v>
      </c>
      <c r="E29" s="32">
        <f t="shared" si="4"/>
        <v>0.03</v>
      </c>
      <c r="F29" s="32">
        <f t="shared" si="5"/>
        <v>0.09</v>
      </c>
      <c r="G29" s="1">
        <f t="shared" si="6"/>
        <v>3750</v>
      </c>
      <c r="H29" s="1">
        <f t="shared" si="9"/>
        <v>1229.8738654248702</v>
      </c>
      <c r="I29" s="1">
        <f t="shared" si="0"/>
        <v>4979.87386542487</v>
      </c>
      <c r="J29" s="1">
        <f>IF(MOD(B28,MAX(1,E$9))=0,C28*(E$8*100)/1200,J28)</f>
        <v>4886.798341721922</v>
      </c>
      <c r="K29" s="1">
        <f t="shared" si="10"/>
        <v>153.73423317810878</v>
      </c>
      <c r="L29" s="1">
        <f t="shared" si="1"/>
        <v>5040.532574900031</v>
      </c>
      <c r="M29" s="1">
        <f>E$6*(1+$E$11)+12*SUM(I$22:I29)-C29*(1-$E$10)</f>
        <v>54962.27628372633</v>
      </c>
      <c r="N29" s="1">
        <f>12*SUM(L$22:L29)-E$18*(1+E$19)^B29</f>
        <v>251594.20813552168</v>
      </c>
      <c r="O29" s="8">
        <f t="shared" si="2"/>
        <v>196632</v>
      </c>
      <c r="P29" s="6" t="str">
        <f t="shared" si="7"/>
        <v> Buying</v>
      </c>
      <c r="Q29" s="41"/>
      <c r="R29" s="40"/>
    </row>
    <row r="30" spans="1:18" ht="12.75">
      <c r="A30" s="38"/>
      <c r="B30" s="19">
        <v>9</v>
      </c>
      <c r="C30" s="1">
        <f t="shared" si="8"/>
        <v>1013687.3754016156</v>
      </c>
      <c r="D30" s="32">
        <f t="shared" si="3"/>
        <v>0.06</v>
      </c>
      <c r="E30" s="32">
        <f t="shared" si="4"/>
        <v>0.03</v>
      </c>
      <c r="F30" s="32">
        <f t="shared" si="5"/>
        <v>0.09</v>
      </c>
      <c r="G30" s="1">
        <f t="shared" si="6"/>
        <v>3750</v>
      </c>
      <c r="H30" s="1">
        <f t="shared" si="9"/>
        <v>1266.7700813876163</v>
      </c>
      <c r="I30" s="1">
        <f t="shared" si="0"/>
        <v>5016.770081387616</v>
      </c>
      <c r="J30" s="1">
        <f>IF(MOD(B29,MAX(1,E$9))=0,C29*(E$8*100)/1200,J29)</f>
        <v>5180.006242225237</v>
      </c>
      <c r="K30" s="1">
        <f t="shared" si="10"/>
        <v>158.34626017345204</v>
      </c>
      <c r="L30" s="1">
        <f t="shared" si="1"/>
        <v>5338.352502398689</v>
      </c>
      <c r="M30" s="1">
        <f>E$6*(1+$E$11)+12*SUM(I$22:I30)-C30*(1-$E$10)</f>
        <v>58358.77188409818</v>
      </c>
      <c r="N30" s="1">
        <f>12*SUM(L$22:L30)-E$18*(1+E$19)^B30</f>
        <v>308267.1609453606</v>
      </c>
      <c r="O30" s="8">
        <f t="shared" si="2"/>
        <v>249908</v>
      </c>
      <c r="P30" s="6" t="str">
        <f t="shared" si="7"/>
        <v> Buying</v>
      </c>
      <c r="Q30" s="41"/>
      <c r="R30" s="40"/>
    </row>
    <row r="31" spans="1:18" ht="12.75">
      <c r="A31" s="38"/>
      <c r="B31" s="19">
        <v>10</v>
      </c>
      <c r="C31" s="1">
        <f t="shared" si="8"/>
        <v>1074508.6179257126</v>
      </c>
      <c r="D31" s="32">
        <f t="shared" si="3"/>
        <v>0.06</v>
      </c>
      <c r="E31" s="32">
        <f t="shared" si="4"/>
        <v>0.03</v>
      </c>
      <c r="F31" s="32">
        <f t="shared" si="5"/>
        <v>0.09</v>
      </c>
      <c r="G31" s="1">
        <f t="shared" si="6"/>
        <v>3750</v>
      </c>
      <c r="H31" s="1">
        <f t="shared" si="9"/>
        <v>1304.7731838292448</v>
      </c>
      <c r="I31" s="1">
        <f t="shared" si="0"/>
        <v>5054.773183829245</v>
      </c>
      <c r="J31" s="1">
        <f>IF(MOD(B30,MAX(1,E$9))=0,C30*(E$8*100)/1200,J30)</f>
        <v>5490.806616758751</v>
      </c>
      <c r="K31" s="1">
        <f t="shared" si="10"/>
        <v>163.0966479786556</v>
      </c>
      <c r="L31" s="1">
        <f t="shared" si="1"/>
        <v>5653.903264737407</v>
      </c>
      <c r="M31" s="1">
        <f>E$6*(1+$E$11)+12*SUM(I$22:I31)-C31*(1-$E$10)</f>
        <v>58803.01999119343</v>
      </c>
      <c r="N31" s="1">
        <f>12*SUM(L$22:L31)-E$18*(1+E$19)^B31</f>
        <v>368357.35904231685</v>
      </c>
      <c r="O31" s="8">
        <f t="shared" si="2"/>
        <v>309554</v>
      </c>
      <c r="P31" s="6" t="str">
        <f t="shared" si="7"/>
        <v> Buying</v>
      </c>
      <c r="Q31" s="41"/>
      <c r="R31" s="40"/>
    </row>
    <row r="32" spans="1:18" ht="12.75">
      <c r="A32" s="38"/>
      <c r="B32" s="19">
        <v>11</v>
      </c>
      <c r="C32" s="1">
        <f t="shared" si="8"/>
        <v>1138979.1350012554</v>
      </c>
      <c r="D32" s="32">
        <f t="shared" si="3"/>
        <v>0.06</v>
      </c>
      <c r="E32" s="32">
        <f t="shared" si="4"/>
        <v>0.03</v>
      </c>
      <c r="F32" s="32">
        <f t="shared" si="5"/>
        <v>0.09</v>
      </c>
      <c r="G32" s="1">
        <f t="shared" si="6"/>
        <v>3750</v>
      </c>
      <c r="H32" s="1">
        <f t="shared" si="9"/>
        <v>1343.916379344122</v>
      </c>
      <c r="I32" s="1">
        <f t="shared" si="0"/>
        <v>5093.916379344122</v>
      </c>
      <c r="J32" s="1">
        <f>IF(MOD(B31,MAX(1,E$9))=0,C31*(E$8*100)/1200,J31)</f>
        <v>5820.255013764277</v>
      </c>
      <c r="K32" s="1">
        <f t="shared" si="10"/>
        <v>167.98954741801526</v>
      </c>
      <c r="L32" s="1">
        <f t="shared" si="1"/>
        <v>5988.244561182291</v>
      </c>
      <c r="M32" s="1">
        <f>E$6*(1+$E$11)+12*SUM(I$22:I32)-C32*(1-$E$10)</f>
        <v>56104.20463853539</v>
      </c>
      <c r="N32" s="1">
        <f>12*SUM(L$22:L32)-E$18*(1+E$19)^B32</f>
        <v>432071.8206426172</v>
      </c>
      <c r="O32" s="8">
        <f t="shared" si="2"/>
        <v>375968</v>
      </c>
      <c r="P32" s="6" t="str">
        <f t="shared" si="7"/>
        <v> Buying</v>
      </c>
      <c r="Q32" s="41"/>
      <c r="R32" s="40"/>
    </row>
    <row r="33" spans="1:18" ht="12.75">
      <c r="A33" s="38"/>
      <c r="B33" s="19">
        <v>12</v>
      </c>
      <c r="C33" s="1">
        <f t="shared" si="8"/>
        <v>1207317.8831013308</v>
      </c>
      <c r="D33" s="32">
        <f t="shared" si="3"/>
        <v>0.06</v>
      </c>
      <c r="E33" s="32">
        <f t="shared" si="4"/>
        <v>0.03</v>
      </c>
      <c r="F33" s="32">
        <f t="shared" si="5"/>
        <v>0.09</v>
      </c>
      <c r="G33" s="1">
        <f t="shared" si="6"/>
        <v>3750</v>
      </c>
      <c r="H33" s="1">
        <f t="shared" si="9"/>
        <v>1384.2338707244458</v>
      </c>
      <c r="I33" s="1">
        <f t="shared" si="0"/>
        <v>5134.233870724445</v>
      </c>
      <c r="J33" s="1">
        <f>IF(MOD(B32,MAX(1,E$9))=0,C32*(E$8*100)/1200,J32)</f>
        <v>6169.470314590134</v>
      </c>
      <c r="K33" s="1">
        <f t="shared" si="10"/>
        <v>173.02923384055572</v>
      </c>
      <c r="L33" s="1">
        <f t="shared" si="1"/>
        <v>6342.49954843069</v>
      </c>
      <c r="M33" s="1">
        <f>E$6*(1+$E$11)+12*SUM(I$22:I33)-C33*(1-$E$10)</f>
        <v>50059.65046815411</v>
      </c>
      <c r="N33" s="1">
        <f>12*SUM(L$22:L33)-E$18*(1+E$19)^B33</f>
        <v>499630.1184332039</v>
      </c>
      <c r="O33" s="8">
        <f t="shared" si="2"/>
        <v>449570</v>
      </c>
      <c r="P33" s="6" t="str">
        <f t="shared" si="7"/>
        <v> Buying</v>
      </c>
      <c r="Q33" s="41"/>
      <c r="R33" s="40"/>
    </row>
    <row r="34" spans="1:18" ht="12.75">
      <c r="A34" s="38"/>
      <c r="B34" s="19">
        <v>13</v>
      </c>
      <c r="C34" s="1">
        <f t="shared" si="8"/>
        <v>1279756.9560874107</v>
      </c>
      <c r="D34" s="32">
        <f t="shared" si="3"/>
        <v>0.06</v>
      </c>
      <c r="E34" s="32">
        <f t="shared" si="4"/>
        <v>0.03</v>
      </c>
      <c r="F34" s="32">
        <f t="shared" si="5"/>
        <v>0.09</v>
      </c>
      <c r="G34" s="1">
        <f t="shared" si="6"/>
        <v>3750</v>
      </c>
      <c r="H34" s="1">
        <f t="shared" si="9"/>
        <v>1425.7608868461791</v>
      </c>
      <c r="I34" s="1">
        <f t="shared" si="0"/>
        <v>5175.760886846179</v>
      </c>
      <c r="J34" s="1">
        <f>IF(MOD(B33,MAX(1,E$9))=0,C33*(E$8*100)/1200,J33)</f>
        <v>6539.6385334655415</v>
      </c>
      <c r="K34" s="1">
        <f t="shared" si="10"/>
        <v>178.2201108557724</v>
      </c>
      <c r="L34" s="1">
        <f t="shared" si="1"/>
        <v>6717.8586443213135</v>
      </c>
      <c r="M34" s="1">
        <f>E$6*(1+$E$11)+12*SUM(I$22:I34)-C34*(1-$E$10)</f>
        <v>40454.098854089156</v>
      </c>
      <c r="N34" s="1">
        <f>12*SUM(L$22:L34)-E$18*(1+E$19)^B34</f>
        <v>571265.140534949</v>
      </c>
      <c r="O34" s="8">
        <f t="shared" si="2"/>
        <v>530811</v>
      </c>
      <c r="P34" s="6" t="str">
        <f t="shared" si="7"/>
        <v> Buying</v>
      </c>
      <c r="Q34" s="41"/>
      <c r="R34" s="40"/>
    </row>
    <row r="35" spans="1:18" ht="12.75">
      <c r="A35" s="38"/>
      <c r="B35" s="19">
        <v>14</v>
      </c>
      <c r="C35" s="1">
        <f t="shared" si="8"/>
        <v>1356542.3734526555</v>
      </c>
      <c r="D35" s="32">
        <f t="shared" si="3"/>
        <v>0.06</v>
      </c>
      <c r="E35" s="32">
        <f t="shared" si="4"/>
        <v>0.03</v>
      </c>
      <c r="F35" s="32">
        <f t="shared" si="5"/>
        <v>0.09</v>
      </c>
      <c r="G35" s="1">
        <f t="shared" si="6"/>
        <v>3750</v>
      </c>
      <c r="H35" s="1">
        <f t="shared" si="9"/>
        <v>1468.5337134515646</v>
      </c>
      <c r="I35" s="1">
        <f t="shared" si="0"/>
        <v>5218.533713451565</v>
      </c>
      <c r="J35" s="1">
        <f>IF(MOD(B34,MAX(1,E$9))=0,C34*(E$8*100)/1200,J34)</f>
        <v>6932.016845473475</v>
      </c>
      <c r="K35" s="1">
        <f t="shared" si="10"/>
        <v>183.56671418144558</v>
      </c>
      <c r="L35" s="1">
        <f t="shared" si="1"/>
        <v>7115.5835596549205</v>
      </c>
      <c r="M35" s="1">
        <f>E$6*(1+$E$11)+12*SUM(I$22:I35)-C35*(1-$E$10)</f>
        <v>27058.940223915735</v>
      </c>
      <c r="N35" s="1">
        <f>12*SUM(L$22:L35)-E$18*(1+E$19)^B35</f>
        <v>647223.8975391918</v>
      </c>
      <c r="O35" s="8">
        <f t="shared" si="2"/>
        <v>620165</v>
      </c>
      <c r="P35" s="6" t="str">
        <f t="shared" si="7"/>
        <v> Buying</v>
      </c>
      <c r="Q35" s="41"/>
      <c r="R35" s="40"/>
    </row>
    <row r="36" spans="1:18" ht="12.75">
      <c r="A36" s="38"/>
      <c r="B36" s="19">
        <v>15</v>
      </c>
      <c r="C36" s="1">
        <f t="shared" si="8"/>
        <v>1437934.915859815</v>
      </c>
      <c r="D36" s="32">
        <f t="shared" si="3"/>
        <v>0.06</v>
      </c>
      <c r="E36" s="32">
        <f t="shared" si="4"/>
        <v>0.03</v>
      </c>
      <c r="F36" s="32">
        <f t="shared" si="5"/>
        <v>0.09</v>
      </c>
      <c r="G36" s="1">
        <f t="shared" si="6"/>
        <v>3750</v>
      </c>
      <c r="H36" s="1">
        <f t="shared" si="9"/>
        <v>1512.5897248551116</v>
      </c>
      <c r="I36" s="1">
        <f t="shared" si="0"/>
        <v>5262.589724855112</v>
      </c>
      <c r="J36" s="1">
        <f>IF(MOD(B35,MAX(1,E$9))=0,C35*(E$8*100)/1200,J35)</f>
        <v>7347.937856201884</v>
      </c>
      <c r="K36" s="1">
        <f t="shared" si="10"/>
        <v>189.07371560688895</v>
      </c>
      <c r="L36" s="1">
        <f t="shared" si="1"/>
        <v>7537.011571808773</v>
      </c>
      <c r="M36" s="1">
        <f>E$6*(1+$E$11)+12*SUM(I$22:I36)-C36*(1-$E$10)</f>
        <v>9631.399939089315</v>
      </c>
      <c r="N36" s="1">
        <f>12*SUM(L$22:L36)-E$18*(1+E$19)^B36</f>
        <v>727768.3784037001</v>
      </c>
      <c r="O36" s="8">
        <f t="shared" si="2"/>
        <v>718137</v>
      </c>
      <c r="P36" s="6" t="str">
        <f t="shared" si="7"/>
        <v> Buying</v>
      </c>
      <c r="Q36" s="41"/>
      <c r="R36" s="40"/>
    </row>
    <row r="37" spans="1:18" ht="12.75">
      <c r="A37" s="38"/>
      <c r="B37" s="19">
        <v>16</v>
      </c>
      <c r="C37" s="1">
        <f t="shared" si="8"/>
        <v>1524211.0108114039</v>
      </c>
      <c r="D37" s="32">
        <f t="shared" si="3"/>
        <v>0.06</v>
      </c>
      <c r="E37" s="32">
        <f t="shared" si="4"/>
        <v>0.03</v>
      </c>
      <c r="F37" s="32">
        <f t="shared" si="5"/>
        <v>0.09</v>
      </c>
      <c r="G37" s="1">
        <f t="shared" si="6"/>
        <v>3750</v>
      </c>
      <c r="H37" s="1">
        <f t="shared" si="9"/>
        <v>1557.967416600765</v>
      </c>
      <c r="I37" s="1">
        <f t="shared" si="0"/>
        <v>5307.967416600765</v>
      </c>
      <c r="J37" s="1">
        <f>IF(MOD(B36,MAX(1,E$9))=0,C36*(E$8*100)/1200,J36)</f>
        <v>7788.814127573998</v>
      </c>
      <c r="K37" s="1">
        <f t="shared" si="10"/>
        <v>194.74592707509564</v>
      </c>
      <c r="L37" s="1">
        <f t="shared" si="1"/>
        <v>7983.560054649094</v>
      </c>
      <c r="M37" s="1">
        <f>E$6*(1+$E$11)+12*SUM(I$22:I37)-C37*(1-$E$10)</f>
        <v>-12086.325063774595</v>
      </c>
      <c r="N37" s="1">
        <f>12*SUM(L$22:L37)-E$18*(1+E$19)^B37</f>
        <v>813176.4581624324</v>
      </c>
      <c r="O37" s="8">
        <f t="shared" si="2"/>
        <v>825263</v>
      </c>
      <c r="P37" s="6" t="str">
        <f t="shared" si="7"/>
        <v> Buying</v>
      </c>
      <c r="Q37" s="41"/>
      <c r="R37" s="40"/>
    </row>
    <row r="38" spans="1:18" ht="12.75">
      <c r="A38" s="38"/>
      <c r="B38" s="19">
        <v>17</v>
      </c>
      <c r="C38" s="1">
        <f t="shared" si="8"/>
        <v>1615663.671460088</v>
      </c>
      <c r="D38" s="32">
        <f t="shared" si="3"/>
        <v>0.06</v>
      </c>
      <c r="E38" s="32">
        <f t="shared" si="4"/>
        <v>0.03</v>
      </c>
      <c r="F38" s="32">
        <f t="shared" si="5"/>
        <v>0.09</v>
      </c>
      <c r="G38" s="1">
        <f t="shared" si="6"/>
        <v>3750</v>
      </c>
      <c r="H38" s="1">
        <f t="shared" si="9"/>
        <v>1604.706439098788</v>
      </c>
      <c r="I38" s="1">
        <f t="shared" si="0"/>
        <v>5354.706439098788</v>
      </c>
      <c r="J38" s="1">
        <f>IF(MOD(B37,MAX(1,E$9))=0,C37*(E$8*100)/1200,J37)</f>
        <v>8256.142975228438</v>
      </c>
      <c r="K38" s="1">
        <f t="shared" si="10"/>
        <v>200.5883048873485</v>
      </c>
      <c r="L38" s="1">
        <f t="shared" si="1"/>
        <v>8456.731280115788</v>
      </c>
      <c r="M38" s="1">
        <f>E$6*(1+$E$11)+12*SUM(I$22:I38)-C38*(1-$E$10)</f>
        <v>-38367.981836786494</v>
      </c>
      <c r="N38" s="1">
        <f>12*SUM(L$22:L38)-E$18*(1+E$19)^B38</f>
        <v>903742.8605819121</v>
      </c>
      <c r="O38" s="8">
        <f t="shared" si="2"/>
        <v>942111</v>
      </c>
      <c r="P38" s="6" t="str">
        <f t="shared" si="7"/>
        <v> Buying</v>
      </c>
      <c r="Q38" s="41"/>
      <c r="R38" s="40"/>
    </row>
    <row r="39" spans="1:18" ht="12.75">
      <c r="A39" s="38"/>
      <c r="B39" s="19">
        <v>18</v>
      </c>
      <c r="C39" s="1">
        <f t="shared" si="8"/>
        <v>1712603.4917476934</v>
      </c>
      <c r="D39" s="32">
        <f t="shared" si="3"/>
        <v>0.06</v>
      </c>
      <c r="E39" s="32">
        <f t="shared" si="4"/>
        <v>0.03</v>
      </c>
      <c r="F39" s="32">
        <f t="shared" si="5"/>
        <v>0.09</v>
      </c>
      <c r="G39" s="1">
        <f t="shared" si="6"/>
        <v>3750</v>
      </c>
      <c r="H39" s="1">
        <f t="shared" si="9"/>
        <v>1652.8476322717518</v>
      </c>
      <c r="I39" s="1">
        <f t="shared" si="0"/>
        <v>5402.8476322717515</v>
      </c>
      <c r="J39" s="1">
        <f>IF(MOD(B38,MAX(1,E$9))=0,C38*(E$8*100)/1200,J38)</f>
        <v>8751.511553742144</v>
      </c>
      <c r="K39" s="1">
        <f t="shared" si="10"/>
        <v>206.60595403396897</v>
      </c>
      <c r="L39" s="1">
        <f t="shared" si="1"/>
        <v>8958.117507776113</v>
      </c>
      <c r="M39" s="1">
        <f>E$6*(1+$E$11)+12*SUM(I$22:I39)-C39*(1-$E$10)</f>
        <v>-69504.23233425454</v>
      </c>
      <c r="N39" s="1">
        <f>12*SUM(L$22:L39)-E$18*(1+E$19)^B39</f>
        <v>999780.1790862202</v>
      </c>
      <c r="O39" s="8">
        <f t="shared" si="2"/>
        <v>1069284</v>
      </c>
      <c r="P39" s="6" t="str">
        <f t="shared" si="7"/>
        <v> Buying</v>
      </c>
      <c r="Q39" s="41"/>
      <c r="R39" s="40"/>
    </row>
    <row r="40" spans="1:18" ht="12.75">
      <c r="A40" s="38"/>
      <c r="B40" s="19">
        <v>19</v>
      </c>
      <c r="C40" s="1">
        <f t="shared" si="8"/>
        <v>1815359.701252555</v>
      </c>
      <c r="D40" s="32">
        <f t="shared" si="3"/>
        <v>0.06</v>
      </c>
      <c r="E40" s="32">
        <f t="shared" si="4"/>
        <v>0.03</v>
      </c>
      <c r="F40" s="32">
        <f t="shared" si="5"/>
        <v>0.09</v>
      </c>
      <c r="G40" s="1">
        <f t="shared" si="6"/>
        <v>3750</v>
      </c>
      <c r="H40" s="1">
        <f t="shared" si="9"/>
        <v>1702.4330612399044</v>
      </c>
      <c r="I40" s="1">
        <f t="shared" si="0"/>
        <v>5452.433061239904</v>
      </c>
      <c r="J40" s="1">
        <f>IF(MOD(B39,MAX(1,E$9))=0,C39*(E$8*100)/1200,J39)</f>
        <v>9276.602246966673</v>
      </c>
      <c r="K40" s="1">
        <f t="shared" si="10"/>
        <v>212.80413265498805</v>
      </c>
      <c r="L40" s="1">
        <f t="shared" si="1"/>
        <v>9489.406379621661</v>
      </c>
      <c r="M40" s="1">
        <f>E$6*(1+$E$11)+12*SUM(I$22:I40)-C40*(1-$E$10)</f>
        <v>-105803.68300918886</v>
      </c>
      <c r="N40" s="1">
        <f>12*SUM(L$22:L40)-E$18*(1+E$19)^B40</f>
        <v>1101619.9594732248</v>
      </c>
      <c r="O40" s="8">
        <f t="shared" si="2"/>
        <v>1207424</v>
      </c>
      <c r="P40" s="6" t="str">
        <f t="shared" si="7"/>
        <v> Buying</v>
      </c>
      <c r="Q40" s="41"/>
      <c r="R40" s="40"/>
    </row>
    <row r="41" spans="1:18" ht="12.75">
      <c r="A41" s="38"/>
      <c r="B41" s="19">
        <v>20</v>
      </c>
      <c r="C41" s="1">
        <f t="shared" si="8"/>
        <v>1924281.2833277085</v>
      </c>
      <c r="D41" s="32">
        <f t="shared" si="3"/>
        <v>0.06</v>
      </c>
      <c r="E41" s="32">
        <f t="shared" si="4"/>
        <v>0.03</v>
      </c>
      <c r="F41" s="32">
        <f t="shared" si="5"/>
        <v>0.09</v>
      </c>
      <c r="G41" s="1">
        <f t="shared" si="6"/>
        <v>3750</v>
      </c>
      <c r="H41" s="1">
        <f t="shared" si="9"/>
        <v>1753.5060530771016</v>
      </c>
      <c r="I41" s="1">
        <f t="shared" si="0"/>
        <v>5503.506053077102</v>
      </c>
      <c r="J41" s="1">
        <f>IF(MOD(B40,MAX(1,E$9))=0,C40*(E$8*100)/1200,J40)</f>
        <v>9833.198381784674</v>
      </c>
      <c r="K41" s="1">
        <f t="shared" si="10"/>
        <v>219.1882566346377</v>
      </c>
      <c r="L41" s="1">
        <f t="shared" si="1"/>
        <v>10052.386638419312</v>
      </c>
      <c r="M41" s="1">
        <f>E$6*(1+$E$11)+12*SUM(I$22:I41)-C41*(1-$E$10)</f>
        <v>-147593.9766266658</v>
      </c>
      <c r="N41" s="1">
        <f>12*SUM(L$22:L41)-E$18*(1+E$19)^B41</f>
        <v>1209613.8481573784</v>
      </c>
      <c r="O41" s="8">
        <f t="shared" si="2"/>
        <v>1357208</v>
      </c>
      <c r="P41" s="6" t="str">
        <f t="shared" si="7"/>
        <v> Buying</v>
      </c>
      <c r="Q41" s="41"/>
      <c r="R41" s="40"/>
    </row>
    <row r="42" spans="1:18" ht="12.75">
      <c r="A42" s="38"/>
      <c r="B42" s="19">
        <v>21</v>
      </c>
      <c r="C42" s="1">
        <f t="shared" si="8"/>
        <v>2039738.1603273712</v>
      </c>
      <c r="D42" s="32">
        <f t="shared" si="3"/>
        <v>0.06</v>
      </c>
      <c r="E42" s="32">
        <f t="shared" si="4"/>
        <v>0.03</v>
      </c>
      <c r="F42" s="32">
        <f t="shared" si="5"/>
        <v>0.09</v>
      </c>
      <c r="G42" s="1">
        <f t="shared" si="6"/>
        <v>3750</v>
      </c>
      <c r="H42" s="1">
        <f t="shared" si="9"/>
        <v>1806.1112346694147</v>
      </c>
      <c r="I42" s="1">
        <f t="shared" si="0"/>
        <v>5556.111234669414</v>
      </c>
      <c r="J42" s="1">
        <f>IF(MOD(B41,MAX(1,E$9))=0,C41*(E$8*100)/1200,J41)</f>
        <v>10423.190284691755</v>
      </c>
      <c r="K42" s="1">
        <f t="shared" si="10"/>
        <v>225.76390433367683</v>
      </c>
      <c r="L42" s="1">
        <f t="shared" si="1"/>
        <v>10648.954189025431</v>
      </c>
      <c r="M42" s="1">
        <f>E$6*(1+$E$11)+12*SUM(I$22:I42)-C42*(1-$E$10)</f>
        <v>-195222.95004029875</v>
      </c>
      <c r="N42" s="1">
        <f>12*SUM(L$22:L42)-E$18*(1+E$19)^B42</f>
        <v>1324134.8098999616</v>
      </c>
      <c r="O42" s="8">
        <f t="shared" si="2"/>
        <v>1519358</v>
      </c>
      <c r="P42" s="6" t="str">
        <f t="shared" si="7"/>
        <v> Buying</v>
      </c>
      <c r="Q42" s="41"/>
      <c r="R42" s="40"/>
    </row>
    <row r="43" spans="1:18" ht="12.75">
      <c r="A43" s="38"/>
      <c r="B43" s="19">
        <v>22</v>
      </c>
      <c r="C43" s="1">
        <f t="shared" si="8"/>
        <v>2162122.4499470135</v>
      </c>
      <c r="D43" s="32">
        <f t="shared" si="3"/>
        <v>0.06</v>
      </c>
      <c r="E43" s="32">
        <f t="shared" si="4"/>
        <v>0.03</v>
      </c>
      <c r="F43" s="32">
        <f t="shared" si="5"/>
        <v>0.09</v>
      </c>
      <c r="G43" s="1">
        <f t="shared" si="6"/>
        <v>3750</v>
      </c>
      <c r="H43" s="1">
        <f t="shared" si="9"/>
        <v>1860.2945717094972</v>
      </c>
      <c r="I43" s="1">
        <f t="shared" si="0"/>
        <v>5610.294571709497</v>
      </c>
      <c r="J43" s="1">
        <f>IF(MOD(B42,MAX(1,E$9))=0,C42*(E$8*100)/1200,J42)</f>
        <v>11048.58170177326</v>
      </c>
      <c r="K43" s="1">
        <f t="shared" si="10"/>
        <v>232.53682146368715</v>
      </c>
      <c r="L43" s="1">
        <f t="shared" si="1"/>
        <v>11281.118523236948</v>
      </c>
      <c r="M43" s="1">
        <f>E$6*(1+$E$11)+12*SUM(I$22:I43)-C43*(1-$E$10)</f>
        <v>-249059.86190323066</v>
      </c>
      <c r="N43" s="1">
        <f>12*SUM(L$22:L43)-E$18*(1+E$19)^B43</f>
        <v>1445578.4192267966</v>
      </c>
      <c r="O43" s="8">
        <f t="shared" si="2"/>
        <v>1694638</v>
      </c>
      <c r="P43" s="6" t="str">
        <f t="shared" si="7"/>
        <v> Buying</v>
      </c>
      <c r="Q43" s="41"/>
      <c r="R43" s="40"/>
    </row>
    <row r="44" spans="1:18" ht="12.75">
      <c r="A44" s="38"/>
      <c r="B44" s="19">
        <v>23</v>
      </c>
      <c r="C44" s="1">
        <f t="shared" si="8"/>
        <v>2291849.7969438345</v>
      </c>
      <c r="D44" s="32">
        <f t="shared" si="3"/>
        <v>0.06</v>
      </c>
      <c r="E44" s="32">
        <f t="shared" si="4"/>
        <v>0.03</v>
      </c>
      <c r="F44" s="32">
        <f t="shared" si="5"/>
        <v>0.09</v>
      </c>
      <c r="G44" s="1">
        <f t="shared" si="6"/>
        <v>3750</v>
      </c>
      <c r="H44" s="1">
        <f t="shared" si="9"/>
        <v>1916.103408860782</v>
      </c>
      <c r="I44" s="1">
        <f t="shared" si="0"/>
        <v>5666.103408860782</v>
      </c>
      <c r="J44" s="1">
        <f>IF(MOD(B43,MAX(1,E$9))=0,C43*(E$8*100)/1200,J43)</f>
        <v>11711.496603879657</v>
      </c>
      <c r="K44" s="1">
        <f t="shared" si="10"/>
        <v>239.51292610759776</v>
      </c>
      <c r="L44" s="1">
        <f t="shared" si="1"/>
        <v>11951.009529987256</v>
      </c>
      <c r="M44" s="1">
        <f>E$6*(1+$E$11)+12*SUM(I$22:I44)-C44*(1-$E$10)</f>
        <v>-309496.69452375406</v>
      </c>
      <c r="N44" s="1">
        <f>12*SUM(L$22:L44)-E$18*(1+E$19)^B44</f>
        <v>1574364.229987035</v>
      </c>
      <c r="O44" s="8">
        <f t="shared" si="2"/>
        <v>1883861</v>
      </c>
      <c r="P44" s="6" t="str">
        <f t="shared" si="7"/>
        <v> Buying</v>
      </c>
      <c r="Q44" s="41"/>
      <c r="R44" s="40"/>
    </row>
    <row r="45" spans="1:18" ht="12.75">
      <c r="A45" s="38"/>
      <c r="B45" s="19">
        <v>24</v>
      </c>
      <c r="C45" s="1">
        <f t="shared" si="8"/>
        <v>2429360.784760465</v>
      </c>
      <c r="D45" s="32">
        <f t="shared" si="3"/>
        <v>0.06</v>
      </c>
      <c r="E45" s="32">
        <f t="shared" si="4"/>
        <v>0.03</v>
      </c>
      <c r="F45" s="32">
        <f t="shared" si="5"/>
        <v>0.09</v>
      </c>
      <c r="G45" s="1">
        <f t="shared" si="6"/>
        <v>3750</v>
      </c>
      <c r="H45" s="1">
        <f t="shared" si="9"/>
        <v>1973.5865111266057</v>
      </c>
      <c r="I45" s="1">
        <f t="shared" si="0"/>
        <v>5723.586511126606</v>
      </c>
      <c r="J45" s="1">
        <f>IF(MOD(B44,MAX(1,E$9))=0,C44*(E$8*100)/1200,J44)</f>
        <v>12414.186400112436</v>
      </c>
      <c r="K45" s="1">
        <f t="shared" si="10"/>
        <v>246.69831389082572</v>
      </c>
      <c r="L45" s="1">
        <f t="shared" si="1"/>
        <v>12660.884714003261</v>
      </c>
      <c r="M45" s="1">
        <f>E$6*(1+$E$11)+12*SUM(I$22:I45)-C45*(1-$E$10)</f>
        <v>-376949.53432869865</v>
      </c>
      <c r="N45" s="1">
        <f>12*SUM(L$22:L45)-E$18*(1+E$19)^B45</f>
        <v>1710937.2277754853</v>
      </c>
      <c r="O45" s="8">
        <f t="shared" si="2"/>
        <v>2087887</v>
      </c>
      <c r="P45" s="6" t="str">
        <f t="shared" si="7"/>
        <v> Buying</v>
      </c>
      <c r="Q45" s="41"/>
      <c r="R45" s="40"/>
    </row>
    <row r="46" spans="1:18" ht="12.75">
      <c r="A46" s="38"/>
      <c r="B46" s="20">
        <v>25</v>
      </c>
      <c r="C46" s="2">
        <f t="shared" si="8"/>
        <v>2575122.431846093</v>
      </c>
      <c r="D46" s="33">
        <f t="shared" si="3"/>
        <v>0.06</v>
      </c>
      <c r="E46" s="33">
        <f t="shared" si="4"/>
        <v>0.03</v>
      </c>
      <c r="F46" s="33">
        <f t="shared" si="5"/>
        <v>0.09</v>
      </c>
      <c r="G46" s="2">
        <f t="shared" si="6"/>
        <v>3750</v>
      </c>
      <c r="H46" s="2">
        <f t="shared" si="9"/>
        <v>2032.794106460404</v>
      </c>
      <c r="I46" s="2">
        <f t="shared" si="0"/>
        <v>5782.794106460404</v>
      </c>
      <c r="J46" s="2">
        <f>IF(MOD(B45,MAX(1,E$9))=0,C45*(E$8*100)/1200,J45)</f>
        <v>13159.037584119185</v>
      </c>
      <c r="K46" s="2">
        <f t="shared" si="10"/>
        <v>254.0992633075505</v>
      </c>
      <c r="L46" s="2">
        <f t="shared" si="1"/>
        <v>13413.136847426736</v>
      </c>
      <c r="M46" s="2">
        <f>E$6*(1+$E$11)+12*SUM(I$22:I46)-C46*(1-$E$10)</f>
        <v>-451860.0356659456</v>
      </c>
      <c r="N46" s="2">
        <f>12*SUM(L$22:L46)-E$18*(1+E$19)^B46</f>
        <v>1855769.3702260377</v>
      </c>
      <c r="O46" s="9">
        <f t="shared" si="2"/>
        <v>2307629</v>
      </c>
      <c r="P46" s="7" t="str">
        <f t="shared" si="7"/>
        <v> Buying</v>
      </c>
      <c r="Q46" s="41"/>
      <c r="R46" s="40"/>
    </row>
    <row r="47" spans="1:18" ht="12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spans="1:18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1:18" ht="12.7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spans="1:18" ht="12.7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12.7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ht="12.7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ht="12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8" ht="12.7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</row>
    <row r="56" spans="1:18" ht="12.7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18" ht="12.7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</row>
    <row r="58" spans="1:18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1:18" ht="12.7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1:18" ht="12.7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1" spans="1:18" ht="12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</row>
    <row r="62" spans="1:18" ht="12.7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</row>
    <row r="63" spans="1:18" ht="12.75">
      <c r="A63" s="38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9"/>
      <c r="P63" s="39"/>
      <c r="Q63" s="39"/>
      <c r="R63" s="40"/>
    </row>
    <row r="64" spans="1:18" ht="12.75">
      <c r="A64" s="38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6"/>
    </row>
    <row r="65" spans="1:18" ht="12.7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</row>
    <row r="66" spans="1:18" ht="12.7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</row>
    <row r="67" spans="1:18" ht="12.7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spans="1:18" ht="12.7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spans="1:18" ht="12.7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spans="1:18" ht="12.7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spans="1:18" ht="12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1:18" ht="12.7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spans="1:18" ht="12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</row>
    <row r="74" spans="1:18" ht="12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1:18" ht="12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</row>
    <row r="76" spans="1:18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1:18" ht="13.5" thickBo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</sheetData>
  <sheetProtection password="D8B2" sheet="1" selectLockedCells="1"/>
  <mergeCells count="1">
    <mergeCell ref="B64:R64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Ghana Home Loans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Mortgage Calculators</dc:creator>
  <cp:keywords/>
  <dc:description/>
  <cp:lastModifiedBy>johnr</cp:lastModifiedBy>
  <cp:lastPrinted>2009-04-13T05:54:19Z</cp:lastPrinted>
  <dcterms:created xsi:type="dcterms:W3CDTF">1998-06-22T15:34:29Z</dcterms:created>
  <dcterms:modified xsi:type="dcterms:W3CDTF">2009-04-13T06:26:46Z</dcterms:modified>
  <cp:category/>
  <cp:version/>
  <cp:contentType/>
  <cp:contentStatus/>
</cp:coreProperties>
</file>